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autoCompressPictures="0"/>
  <mc:AlternateContent xmlns:mc="http://schemas.openxmlformats.org/markup-compatibility/2006">
    <mc:Choice Requires="x15">
      <x15ac:absPath xmlns:x15ac="http://schemas.microsoft.com/office/spreadsheetml/2010/11/ac" url="C:\Users\Elissaveta\Documents\Lipistart\"/>
    </mc:Choice>
  </mc:AlternateContent>
  <xr:revisionPtr revIDLastSave="0" documentId="13_ncr:1_{3079EC8D-165E-4070-B231-DCD9D944889C}" xr6:coauthVersionLast="45" xr6:coauthVersionMax="45" xr10:uidLastSave="{00000000-0000-0000-0000-000000000000}"/>
  <bookViews>
    <workbookView xWindow="-90" yWindow="-90" windowWidth="19380" windowHeight="10380" activeTab="1" xr2:uid="{00000000-000D-0000-FFFF-FFFF00000000}"/>
  </bookViews>
  <sheets>
    <sheet name="Lipistart DRI Calculator" sheetId="1" r:id="rId1"/>
    <sheet name="Recipe Calculator" sheetId="5" r:id="rId2"/>
    <sheet name="Preparation" sheetId="6" r:id="rId3"/>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1" l="1"/>
  <c r="E16" i="5"/>
  <c r="K10" i="5"/>
  <c r="K11" i="5" s="1"/>
  <c r="L11" i="5" s="1"/>
  <c r="K9" i="5"/>
  <c r="L9" i="5"/>
  <c r="L7" i="5"/>
  <c r="L17" i="5"/>
  <c r="K19" i="5" s="1"/>
  <c r="L19" i="5"/>
  <c r="L21" i="5"/>
  <c r="K21" i="5" s="1"/>
  <c r="K18" i="5"/>
  <c r="K20" i="5" s="1"/>
  <c r="L20" i="5" s="1"/>
  <c r="L16" i="5"/>
  <c r="E17" i="5"/>
  <c r="D19" i="5"/>
  <c r="E19" i="5"/>
  <c r="E8" i="5"/>
  <c r="E12" i="5" s="1"/>
  <c r="D12" i="5" s="1"/>
  <c r="D9" i="5"/>
  <c r="D10" i="5"/>
  <c r="D11" i="5"/>
  <c r="E11" i="5"/>
  <c r="E7" i="5"/>
  <c r="B8" i="1"/>
  <c r="B45" i="1"/>
  <c r="B44" i="1"/>
  <c r="B43" i="1"/>
  <c r="B42" i="1"/>
  <c r="B41" i="1"/>
  <c r="B40" i="1"/>
  <c r="H40" i="1"/>
  <c r="B39" i="1"/>
  <c r="H39" i="1" s="1"/>
  <c r="B38" i="1"/>
  <c r="H38" i="1"/>
  <c r="B37" i="1"/>
  <c r="B35" i="1"/>
  <c r="B34" i="1"/>
  <c r="B33" i="1"/>
  <c r="B32" i="1"/>
  <c r="D32" i="1"/>
  <c r="B30" i="1"/>
  <c r="B29" i="1"/>
  <c r="B28" i="1"/>
  <c r="B27" i="1"/>
  <c r="B26" i="1"/>
  <c r="B25" i="1"/>
  <c r="AN25" i="1" s="1"/>
  <c r="B24" i="1"/>
  <c r="AL24" i="1"/>
  <c r="B23" i="1"/>
  <c r="B22" i="1"/>
  <c r="Z22" i="1"/>
  <c r="B21" i="1"/>
  <c r="B20" i="1"/>
  <c r="B19" i="1"/>
  <c r="F19" i="1"/>
  <c r="B18" i="1"/>
  <c r="AT18" i="1"/>
  <c r="B16" i="1"/>
  <c r="B15" i="1"/>
  <c r="B13" i="1"/>
  <c r="H13" i="1"/>
  <c r="B11" i="1"/>
  <c r="B9" i="1"/>
  <c r="H9" i="1"/>
  <c r="B10" i="1"/>
  <c r="D10" i="1" s="1"/>
  <c r="B7" i="1"/>
  <c r="H27" i="1"/>
  <c r="J27" i="1"/>
  <c r="F25" i="1"/>
  <c r="F40" i="1"/>
  <c r="AR15" i="1"/>
  <c r="AH15" i="1"/>
  <c r="R15" i="1"/>
  <c r="AT24" i="1"/>
  <c r="AH24" i="1"/>
  <c r="AD24" i="1"/>
  <c r="T24" i="1"/>
  <c r="P24" i="1"/>
  <c r="Z45" i="1"/>
  <c r="AF45" i="1"/>
  <c r="AN45" i="1"/>
  <c r="AJ45" i="1"/>
  <c r="AD45" i="1"/>
  <c r="AB45" i="1"/>
  <c r="N45" i="1"/>
  <c r="V45" i="1"/>
  <c r="T45" i="1"/>
  <c r="D15" i="1"/>
  <c r="D18" i="1"/>
  <c r="L45" i="1"/>
  <c r="AL16" i="1"/>
  <c r="AB25" i="1"/>
  <c r="X25" i="1"/>
  <c r="T25" i="1"/>
  <c r="AH25" i="1"/>
  <c r="AT29" i="1"/>
  <c r="R29" i="1"/>
  <c r="AF29" i="1"/>
  <c r="AL29" i="1"/>
  <c r="AL34" i="1"/>
  <c r="AH34" i="1"/>
  <c r="AF34" i="1"/>
  <c r="R34" i="1"/>
  <c r="AB38" i="1"/>
  <c r="AN38" i="1"/>
  <c r="AD38" i="1"/>
  <c r="V38" i="1"/>
  <c r="P38" i="1"/>
  <c r="AN42" i="1"/>
  <c r="R42" i="1"/>
  <c r="D20" i="1"/>
  <c r="F24" i="1"/>
  <c r="F45" i="1"/>
  <c r="J15" i="1"/>
  <c r="J34" i="1"/>
  <c r="L20" i="1"/>
  <c r="L38" i="1"/>
  <c r="L42" i="1"/>
  <c r="AN22" i="1"/>
  <c r="AJ22" i="1"/>
  <c r="AB22" i="1"/>
  <c r="R22" i="1"/>
  <c r="N22" i="1"/>
  <c r="P35" i="1"/>
  <c r="AH35" i="1"/>
  <c r="AP18" i="1"/>
  <c r="Z18" i="1"/>
  <c r="AR26" i="1"/>
  <c r="AN26" i="1"/>
  <c r="AD26" i="1"/>
  <c r="AB26" i="1"/>
  <c r="P26" i="1"/>
  <c r="R39" i="1"/>
  <c r="AD39" i="1"/>
  <c r="D22" i="1"/>
  <c r="F18" i="1"/>
  <c r="H22" i="1"/>
  <c r="H45" i="1"/>
  <c r="J22" i="1"/>
  <c r="AD9" i="1"/>
  <c r="R9" i="1"/>
  <c r="AP19" i="1"/>
  <c r="AB23" i="1"/>
  <c r="T23" i="1"/>
  <c r="P23" i="1"/>
  <c r="AL23" i="1"/>
  <c r="AH23" i="1"/>
  <c r="AD23" i="1"/>
  <c r="R23" i="1"/>
  <c r="AT27" i="1"/>
  <c r="AR27" i="1"/>
  <c r="AH27" i="1"/>
  <c r="T27" i="1"/>
  <c r="AL32" i="1"/>
  <c r="AB32" i="1"/>
  <c r="X32" i="1"/>
  <c r="AP36" i="1"/>
  <c r="AB36" i="1"/>
  <c r="Z36" i="1"/>
  <c r="AJ40" i="1"/>
  <c r="AH40" i="1"/>
  <c r="Z40" i="1"/>
  <c r="AR44" i="1"/>
  <c r="AD44" i="1"/>
  <c r="AF44" i="1"/>
  <c r="D34" i="1"/>
  <c r="D45" i="1"/>
  <c r="F23" i="1"/>
  <c r="J24" i="1"/>
  <c r="L22" i="1"/>
  <c r="L36" i="1"/>
  <c r="AT20" i="1"/>
  <c r="AR20" i="1"/>
  <c r="AP20" i="1"/>
  <c r="AJ20" i="1"/>
  <c r="AH20" i="1"/>
  <c r="AD20" i="1"/>
  <c r="P20" i="1"/>
  <c r="V20" i="1"/>
  <c r="R20" i="1"/>
  <c r="T20" i="1"/>
  <c r="X28" i="1"/>
  <c r="AT41" i="1"/>
  <c r="Z41" i="1"/>
  <c r="AL41" i="1"/>
  <c r="AH41" i="1"/>
  <c r="X41" i="1"/>
  <c r="V41" i="1"/>
  <c r="T41" i="1"/>
  <c r="P41" i="1"/>
  <c r="D18" i="5"/>
  <c r="D21" i="5"/>
  <c r="E21" i="5" s="1"/>
  <c r="E20" i="5" s="1"/>
  <c r="D20" i="5" s="1"/>
  <c r="AT15" i="1"/>
  <c r="AL15" i="1"/>
  <c r="Z15" i="1"/>
  <c r="V15" i="1"/>
  <c r="F15" i="1"/>
  <c r="T21" i="1"/>
  <c r="AD21" i="1"/>
  <c r="H32" i="1"/>
  <c r="F32" i="1"/>
  <c r="AF37" i="1"/>
  <c r="AL42" i="1"/>
  <c r="AF42" i="1"/>
  <c r="AF32" i="1"/>
  <c r="P32" i="1"/>
  <c r="AD32" i="1"/>
  <c r="AN32" i="1"/>
  <c r="X42" i="1"/>
  <c r="AD42" i="1"/>
  <c r="P15" i="1"/>
  <c r="X15" i="1"/>
  <c r="AJ15" i="1"/>
  <c r="AF15" i="1"/>
  <c r="F22" i="1"/>
  <c r="AT22" i="1"/>
  <c r="AL22" i="1"/>
  <c r="AD22" i="1"/>
  <c r="X22" i="1"/>
  <c r="T22" i="1"/>
  <c r="L33" i="1"/>
  <c r="AN35" i="1"/>
  <c r="AD35" i="1"/>
  <c r="L32" i="1"/>
  <c r="J35" i="1"/>
  <c r="H15" i="1"/>
  <c r="D21" i="1"/>
  <c r="N40" i="1"/>
  <c r="AT40" i="1"/>
  <c r="N32" i="1"/>
  <c r="T32" i="1"/>
  <c r="AH32" i="1"/>
  <c r="AP32" i="1"/>
  <c r="AL19" i="1"/>
  <c r="AJ43" i="1"/>
  <c r="AL35" i="1"/>
  <c r="AB35" i="1"/>
  <c r="V22" i="1"/>
  <c r="AF22" i="1"/>
  <c r="AP22" i="1"/>
  <c r="L15" i="1"/>
  <c r="T42" i="1"/>
  <c r="AR42" i="1"/>
  <c r="P21" i="1"/>
  <c r="AR33" i="1"/>
  <c r="N15" i="1"/>
  <c r="AB15" i="1"/>
  <c r="AN15" i="1"/>
  <c r="J32" i="1"/>
  <c r="R16" i="1"/>
  <c r="AT25" i="1"/>
  <c r="AR25" i="1"/>
  <c r="AJ25" i="1"/>
  <c r="AB29" i="1"/>
  <c r="X29" i="1"/>
  <c r="AN29" i="1"/>
  <c r="AR38" i="1"/>
  <c r="Z38" i="1"/>
  <c r="X38" i="1"/>
  <c r="D38" i="1"/>
  <c r="AB41" i="1"/>
  <c r="AD41" i="1"/>
  <c r="AN41" i="1"/>
  <c r="AB20" i="1"/>
  <c r="X20" i="1"/>
  <c r="AF20" i="1"/>
  <c r="AN20" i="1"/>
  <c r="J38" i="1"/>
  <c r="F42" i="1"/>
  <c r="P40" i="1"/>
  <c r="AN40" i="1"/>
  <c r="R32" i="1"/>
  <c r="V32" i="1"/>
  <c r="AJ32" i="1"/>
  <c r="AR32" i="1"/>
  <c r="AD27" i="1"/>
  <c r="AL27" i="1"/>
  <c r="AF19" i="1"/>
  <c r="AN19" i="1"/>
  <c r="D35" i="1"/>
  <c r="AN43" i="1"/>
  <c r="AR35" i="1"/>
  <c r="AP35" i="1"/>
  <c r="N35" i="1"/>
  <c r="AT35" i="1"/>
  <c r="P22" i="1"/>
  <c r="AH22" i="1"/>
  <c r="AR22" i="1"/>
  <c r="J25" i="1"/>
  <c r="H20" i="1"/>
  <c r="N42" i="1"/>
  <c r="V42" i="1"/>
  <c r="AJ42" i="1"/>
  <c r="AB42" i="1"/>
  <c r="T38" i="1"/>
  <c r="AT38" i="1"/>
  <c r="AJ29" i="1"/>
  <c r="AD25" i="1"/>
  <c r="AP25" i="1"/>
  <c r="V25" i="1"/>
  <c r="AB21" i="1"/>
  <c r="AD37" i="1"/>
  <c r="AB33" i="1"/>
  <c r="X33" i="1"/>
  <c r="T15" i="1"/>
  <c r="AD15" i="1"/>
  <c r="AP15" i="1"/>
  <c r="L25" i="1"/>
  <c r="J18" i="1"/>
  <c r="V18" i="1"/>
  <c r="AR39" i="1"/>
  <c r="H42" i="1"/>
  <c r="E10" i="5"/>
  <c r="V16" i="1"/>
  <c r="J41" i="1"/>
  <c r="F44" i="1"/>
  <c r="D40" i="1"/>
  <c r="J13" i="1"/>
  <c r="T13" i="1"/>
  <c r="X13" i="1"/>
  <c r="V13" i="1"/>
  <c r="J36" i="1"/>
  <c r="F36" i="1"/>
  <c r="AN36" i="1"/>
  <c r="AD36" i="1"/>
  <c r="P36" i="1"/>
  <c r="R36" i="1"/>
  <c r="T18" i="1"/>
  <c r="AF36" i="1"/>
  <c r="AR36" i="1"/>
  <c r="R13" i="1"/>
  <c r="AB39" i="1"/>
  <c r="AR18" i="1"/>
  <c r="D36" i="1"/>
  <c r="Z21" i="1"/>
  <c r="R21" i="1"/>
  <c r="AN21" i="1"/>
  <c r="J21" i="1"/>
  <c r="AF33" i="1"/>
  <c r="V33" i="1"/>
  <c r="F33" i="1"/>
  <c r="N33" i="1"/>
  <c r="AN39" i="1"/>
  <c r="AF18" i="1"/>
  <c r="H21" i="1"/>
  <c r="AJ33" i="1"/>
  <c r="X21" i="1"/>
  <c r="D39" i="1"/>
  <c r="L44" i="1"/>
  <c r="H36" i="1"/>
  <c r="D24" i="1"/>
  <c r="V44" i="1"/>
  <c r="N36" i="1"/>
  <c r="T36" i="1"/>
  <c r="AJ36" i="1"/>
  <c r="AT36" i="1"/>
  <c r="AD13" i="1"/>
  <c r="AP13" i="1"/>
  <c r="AH9" i="1"/>
  <c r="AR9" i="1"/>
  <c r="T39" i="1"/>
  <c r="AL39" i="1"/>
  <c r="Z39" i="1"/>
  <c r="P18" i="1"/>
  <c r="AH18" i="1"/>
  <c r="L24" i="1"/>
  <c r="AP21" i="1"/>
  <c r="AD33" i="1"/>
  <c r="R24" i="1"/>
  <c r="H25" i="1"/>
  <c r="N25" i="1"/>
  <c r="AL25" i="1"/>
  <c r="Z25" i="1"/>
  <c r="P25" i="1"/>
  <c r="AF25" i="1"/>
  <c r="D25" i="1"/>
  <c r="R25" i="1"/>
  <c r="AN34" i="1"/>
  <c r="AD34" i="1"/>
  <c r="T34" i="1"/>
  <c r="H34" i="1"/>
  <c r="AR34" i="1"/>
  <c r="AJ34" i="1"/>
  <c r="X34" i="1"/>
  <c r="Z42" i="1"/>
  <c r="AT42" i="1"/>
  <c r="J42" i="1"/>
  <c r="AP42" i="1"/>
  <c r="AL18" i="1"/>
  <c r="AB18" i="1"/>
  <c r="X18" i="1"/>
  <c r="L18" i="1"/>
  <c r="AF39" i="1"/>
  <c r="N39" i="1"/>
  <c r="AH39" i="1"/>
  <c r="P39" i="1"/>
  <c r="L12" i="5"/>
  <c r="K12" i="5" s="1"/>
  <c r="J39" i="1"/>
  <c r="AH36" i="1"/>
  <c r="AN13" i="1"/>
  <c r="AJ39" i="1"/>
  <c r="R18" i="1"/>
  <c r="AD18" i="1"/>
  <c r="F9" i="1"/>
  <c r="AT9" i="1"/>
  <c r="AL9" i="1"/>
  <c r="T9" i="1"/>
  <c r="AR24" i="1"/>
  <c r="AJ24" i="1"/>
  <c r="Z24" i="1"/>
  <c r="N24" i="1"/>
  <c r="AN24" i="1"/>
  <c r="AF24" i="1"/>
  <c r="V24" i="1"/>
  <c r="AB24" i="1"/>
  <c r="H24" i="1"/>
  <c r="AP44" i="1"/>
  <c r="T44" i="1"/>
  <c r="F39" i="1"/>
  <c r="AT33" i="1"/>
  <c r="N21" i="1"/>
  <c r="X39" i="1"/>
  <c r="L21" i="1"/>
  <c r="AN18" i="1"/>
  <c r="AL21" i="1"/>
  <c r="AT21" i="1"/>
  <c r="H33" i="1"/>
  <c r="AH21" i="1"/>
  <c r="F21" i="1"/>
  <c r="J44" i="1"/>
  <c r="Z44" i="1"/>
  <c r="AB44" i="1"/>
  <c r="X36" i="1"/>
  <c r="V36" i="1"/>
  <c r="AL36" i="1"/>
  <c r="AR13" i="1"/>
  <c r="N9" i="1"/>
  <c r="Z9" i="1"/>
  <c r="L39" i="1"/>
  <c r="V39" i="1"/>
  <c r="AP39" i="1"/>
  <c r="AT39" i="1"/>
  <c r="N18" i="1"/>
  <c r="AJ18" i="1"/>
  <c r="H18" i="1"/>
  <c r="X24" i="1"/>
  <c r="AP24" i="1"/>
  <c r="F10" i="1"/>
  <c r="F26" i="1"/>
  <c r="AP26" i="1"/>
  <c r="Z26" i="1"/>
  <c r="V26" i="1"/>
  <c r="F35" i="1"/>
  <c r="T35" i="1"/>
  <c r="Z35" i="1"/>
  <c r="AJ35" i="1"/>
  <c r="H35" i="1"/>
  <c r="V35" i="1"/>
  <c r="AF35" i="1"/>
  <c r="Z32" i="1"/>
  <c r="AT32" i="1"/>
  <c r="AR16" i="1"/>
  <c r="L41" i="1"/>
  <c r="D28" i="1" l="1"/>
  <c r="H28" i="1"/>
  <c r="AP28" i="1"/>
  <c r="AH28" i="1"/>
  <c r="AB28" i="1"/>
  <c r="R28" i="1"/>
  <c r="F28" i="1"/>
  <c r="L28" i="1"/>
  <c r="AL28" i="1"/>
  <c r="Z28" i="1"/>
  <c r="N28" i="1"/>
  <c r="AT28" i="1"/>
  <c r="AF28" i="1"/>
  <c r="V28" i="1"/>
  <c r="AR28" i="1"/>
  <c r="AD28" i="1"/>
  <c r="T28" i="1"/>
  <c r="Z37" i="1"/>
  <c r="X37" i="1"/>
  <c r="P37" i="1"/>
  <c r="AN37" i="1"/>
  <c r="AP37" i="1"/>
  <c r="AL37" i="1"/>
  <c r="D37" i="1"/>
  <c r="AJ37" i="1"/>
  <c r="J37" i="1"/>
  <c r="F37" i="1"/>
  <c r="T37" i="1"/>
  <c r="AH37" i="1"/>
  <c r="V37" i="1"/>
  <c r="AR37" i="1"/>
  <c r="R37" i="1"/>
  <c r="Z43" i="1"/>
  <c r="AD43" i="1"/>
  <c r="F43" i="1"/>
  <c r="V43" i="1"/>
  <c r="J43" i="1"/>
  <c r="AT43" i="1"/>
  <c r="AP43" i="1"/>
  <c r="N43" i="1"/>
  <c r="R43" i="1"/>
  <c r="X43" i="1"/>
  <c r="AR43" i="1"/>
  <c r="H43" i="1"/>
  <c r="L43" i="1"/>
  <c r="AB43" i="1"/>
  <c r="AF43" i="1"/>
  <c r="P43" i="1"/>
  <c r="L37" i="1"/>
  <c r="AL43" i="1"/>
  <c r="P28" i="1"/>
  <c r="D43" i="1"/>
  <c r="Z16" i="1"/>
  <c r="AD16" i="1"/>
  <c r="B17" i="1"/>
  <c r="AB16" i="1"/>
  <c r="AJ16" i="1"/>
  <c r="AH16" i="1"/>
  <c r="AT16" i="1"/>
  <c r="F16" i="1"/>
  <c r="X16" i="1"/>
  <c r="D16" i="1"/>
  <c r="AF16" i="1"/>
  <c r="L16" i="1"/>
  <c r="N16" i="1"/>
  <c r="AH19" i="1"/>
  <c r="AD19" i="1"/>
  <c r="AR19" i="1"/>
  <c r="Z19" i="1"/>
  <c r="AB19" i="1"/>
  <c r="D19" i="1"/>
  <c r="X19" i="1"/>
  <c r="H19" i="1"/>
  <c r="P19" i="1"/>
  <c r="L19" i="1"/>
  <c r="N19" i="1"/>
  <c r="R19" i="1"/>
  <c r="J19" i="1"/>
  <c r="H16" i="1"/>
  <c r="T16" i="1"/>
  <c r="AP16" i="1"/>
  <c r="AT37" i="1"/>
  <c r="V19" i="1"/>
  <c r="AJ28" i="1"/>
  <c r="AH43" i="1"/>
  <c r="L10" i="5"/>
  <c r="AJ19" i="1"/>
  <c r="J16" i="1"/>
  <c r="AN16" i="1"/>
  <c r="AT19" i="1"/>
  <c r="H37" i="1"/>
  <c r="P16" i="1"/>
  <c r="N37" i="1"/>
  <c r="AN28" i="1"/>
  <c r="T19" i="1"/>
  <c r="J28" i="1"/>
  <c r="AB37" i="1"/>
  <c r="AB9" i="1"/>
  <c r="X9" i="1"/>
  <c r="D9" i="1"/>
  <c r="V9" i="1"/>
  <c r="J9" i="1"/>
  <c r="AF9" i="1"/>
  <c r="AJ9" i="1"/>
  <c r="AP9" i="1"/>
  <c r="L9" i="1"/>
  <c r="P9" i="1"/>
  <c r="AN9" i="1"/>
  <c r="AJ13" i="1"/>
  <c r="F13" i="1"/>
  <c r="AL13" i="1"/>
  <c r="N13" i="1"/>
  <c r="AH13" i="1"/>
  <c r="AB13" i="1"/>
  <c r="L13" i="1"/>
  <c r="D13" i="1"/>
  <c r="AT13" i="1"/>
  <c r="AF13" i="1"/>
  <c r="Z13" i="1"/>
  <c r="P13" i="1"/>
  <c r="Z27" i="1"/>
  <c r="D27" i="1"/>
  <c r="AP27" i="1"/>
  <c r="AF27" i="1"/>
  <c r="R27" i="1"/>
  <c r="L27" i="1"/>
  <c r="AN27" i="1"/>
  <c r="P27" i="1"/>
  <c r="V27" i="1"/>
  <c r="F27" i="1"/>
  <c r="AB27" i="1"/>
  <c r="X27" i="1"/>
  <c r="AJ27" i="1"/>
  <c r="N27" i="1"/>
  <c r="T43" i="1"/>
  <c r="L23" i="1"/>
  <c r="J23" i="1"/>
  <c r="AT23" i="1"/>
  <c r="AR23" i="1"/>
  <c r="AJ23" i="1"/>
  <c r="X23" i="1"/>
  <c r="Z23" i="1"/>
  <c r="H23" i="1"/>
  <c r="AP23" i="1"/>
  <c r="AF23" i="1"/>
  <c r="N23" i="1"/>
  <c r="J26" i="1"/>
  <c r="AT26" i="1"/>
  <c r="AJ26" i="1"/>
  <c r="T26" i="1"/>
  <c r="N26" i="1"/>
  <c r="AF26" i="1"/>
  <c r="X26" i="1"/>
  <c r="D26" i="1"/>
  <c r="L29" i="1"/>
  <c r="V29" i="1"/>
  <c r="AP29" i="1"/>
  <c r="D29" i="1"/>
  <c r="H29" i="1"/>
  <c r="N29" i="1"/>
  <c r="T29" i="1"/>
  <c r="AR29" i="1"/>
  <c r="AL33" i="1"/>
  <c r="J33" i="1"/>
  <c r="AH33" i="1"/>
  <c r="D33" i="1"/>
  <c r="AN33" i="1"/>
  <c r="Z33" i="1"/>
  <c r="AP33" i="1"/>
  <c r="AR40" i="1"/>
  <c r="V40" i="1"/>
  <c r="L40" i="1"/>
  <c r="AB40" i="1"/>
  <c r="T40" i="1"/>
  <c r="AL40" i="1"/>
  <c r="R40" i="1"/>
  <c r="J40" i="1"/>
  <c r="AL44" i="1"/>
  <c r="AT44" i="1"/>
  <c r="P44" i="1"/>
  <c r="AJ44" i="1"/>
  <c r="D44" i="1"/>
  <c r="X44" i="1"/>
  <c r="H44" i="1"/>
  <c r="AH26" i="1"/>
  <c r="AN44" i="1"/>
  <c r="AH44" i="1"/>
  <c r="R44" i="1"/>
  <c r="P33" i="1"/>
  <c r="P29" i="1"/>
  <c r="AD40" i="1"/>
  <c r="AD29" i="1"/>
  <c r="F29" i="1"/>
  <c r="AF40" i="1"/>
  <c r="R33" i="1"/>
  <c r="L26" i="1"/>
  <c r="H26" i="1"/>
  <c r="N44" i="1"/>
  <c r="X40" i="1"/>
  <c r="AP40" i="1"/>
  <c r="V23" i="1"/>
  <c r="AN23" i="1"/>
  <c r="R26" i="1"/>
  <c r="AL26" i="1"/>
  <c r="J29" i="1"/>
  <c r="AH29" i="1"/>
  <c r="Z29" i="1"/>
  <c r="T33" i="1"/>
  <c r="D23" i="1"/>
  <c r="V21" i="1"/>
  <c r="AF21" i="1"/>
  <c r="AJ21" i="1"/>
  <c r="AR21" i="1"/>
  <c r="AP34" i="1"/>
  <c r="V34" i="1"/>
  <c r="L34" i="1"/>
  <c r="AT34" i="1"/>
  <c r="P34" i="1"/>
  <c r="F34" i="1"/>
  <c r="AB34" i="1"/>
  <c r="N34" i="1"/>
  <c r="Z34" i="1"/>
  <c r="AP38" i="1"/>
  <c r="AF38" i="1"/>
  <c r="N38" i="1"/>
  <c r="AL38" i="1"/>
  <c r="R38" i="1"/>
  <c r="AJ38" i="1"/>
  <c r="F38" i="1"/>
  <c r="AH38" i="1"/>
  <c r="H41" i="1"/>
  <c r="F41" i="1"/>
  <c r="AF41" i="1"/>
  <c r="AJ41" i="1"/>
  <c r="N41" i="1"/>
  <c r="D41" i="1"/>
  <c r="AP41" i="1"/>
  <c r="R41" i="1"/>
  <c r="AR41" i="1"/>
  <c r="AT45" i="1"/>
  <c r="AP45" i="1"/>
  <c r="AH45" i="1"/>
  <c r="R45" i="1"/>
  <c r="P45" i="1"/>
  <c r="AR45" i="1"/>
  <c r="AL45" i="1"/>
  <c r="X45" i="1"/>
  <c r="J45" i="1"/>
  <c r="F20" i="1"/>
  <c r="J20" i="1"/>
  <c r="AL20" i="1"/>
  <c r="Z20" i="1"/>
  <c r="N20" i="1"/>
  <c r="R35" i="1"/>
  <c r="L35" i="1"/>
  <c r="X35" i="1"/>
  <c r="P42" i="1"/>
  <c r="D42" i="1"/>
  <c r="AH42" i="1"/>
</calcChain>
</file>

<file path=xl/sharedStrings.xml><?xml version="1.0" encoding="utf-8"?>
<sst xmlns="http://schemas.openxmlformats.org/spreadsheetml/2006/main" count="282" uniqueCount="192">
  <si>
    <t>Calories needed from formula</t>
  </si>
  <si>
    <t>DRI
1-3 years</t>
  </si>
  <si>
    <t>% DRI
1-3
 years</t>
  </si>
  <si>
    <t>DRI 
4-8 years</t>
  </si>
  <si>
    <t>% DRI
4-8
 years</t>
  </si>
  <si>
    <t>DRI 
9-13 years
(M)</t>
  </si>
  <si>
    <t>% DRI
9-13 years
(M)</t>
  </si>
  <si>
    <t>DRI 
9-13 years
(F)</t>
  </si>
  <si>
    <t>% DRI
9-13 years
(F)</t>
  </si>
  <si>
    <t>DRI
14-18 years
(M)</t>
  </si>
  <si>
    <t>% DRI
14-18 years
(M)</t>
  </si>
  <si>
    <t>DRI
14-18 years (F)</t>
  </si>
  <si>
    <t>% DRI
14-18 years
(F)</t>
  </si>
  <si>
    <t>DRI
&lt;19 years
Pregnancy</t>
  </si>
  <si>
    <t>% DRI
&lt;19 years
Pregnancy</t>
  </si>
  <si>
    <t>DRI
&lt;19 years
Lactation</t>
  </si>
  <si>
    <t>% DRI
&lt;19 years
Lactation</t>
  </si>
  <si>
    <t>DRI
19-30 years
(M)</t>
  </si>
  <si>
    <t>% DRI
19-30 years
(M)</t>
  </si>
  <si>
    <t>DRI
19-30 years
(F)</t>
  </si>
  <si>
    <t>% DRI
19-30 years
(F)</t>
  </si>
  <si>
    <t>DRI
19-30 years
Pregnancy</t>
  </si>
  <si>
    <t>% DRI
19-30 years
Pregnancy</t>
  </si>
  <si>
    <t>DRI
19-30 years
Lactation</t>
  </si>
  <si>
    <t>% DRI
19-30 years
Lactation</t>
  </si>
  <si>
    <t>DRI
31-50 years
(M)</t>
  </si>
  <si>
    <t>% DRI
31-50 years
(M)</t>
  </si>
  <si>
    <t>DRI
31-50 years
(F)</t>
  </si>
  <si>
    <t>% DRI
31-50 years
(F)</t>
  </si>
  <si>
    <t>DRI 
31-50 years
Pregnancy</t>
  </si>
  <si>
    <t>% DRI
31-50 years
Pregnancy</t>
  </si>
  <si>
    <t>DRI
31-50 years
Lactation</t>
  </si>
  <si>
    <t>% DRI
31-50 years
Lactation</t>
  </si>
  <si>
    <t>DRI
51-70 years
(M)</t>
  </si>
  <si>
    <t>% DRI
51-70 years
(M)</t>
  </si>
  <si>
    <t>DRI
51-70 years
(F)</t>
  </si>
  <si>
    <t>% DRI
51-70 years
(F)</t>
  </si>
  <si>
    <t>DRI
&gt;70 years
(M)</t>
  </si>
  <si>
    <t>% DRI
&gt;70 years
(M)</t>
  </si>
  <si>
    <t>DRI
&gt;70 years
(F)</t>
  </si>
  <si>
    <t>% DRI
&gt;70 years
(F)</t>
  </si>
  <si>
    <t>Calories</t>
  </si>
  <si>
    <t>Protein (Equivalent), g</t>
  </si>
  <si>
    <t>Fat, g</t>
  </si>
  <si>
    <t>Carbohydrate, g</t>
  </si>
  <si>
    <t>DRI 1-3 year old</t>
  </si>
  <si>
    <t>% DRI 1-3 year old</t>
  </si>
  <si>
    <t>DRI 4-8 year old</t>
  </si>
  <si>
    <t>% DRI 4-8 year old</t>
  </si>
  <si>
    <t>DRI 9-13        year old (M)</t>
  </si>
  <si>
    <t>% DRI 9-13 year old (M)</t>
  </si>
  <si>
    <t>DRI 9-13 year old (F)</t>
  </si>
  <si>
    <t>% DRI 9-13 year old (F)</t>
  </si>
  <si>
    <t>DRI  14-18 yo (M)</t>
  </si>
  <si>
    <t>% DRI  14-18 yo (M)</t>
  </si>
  <si>
    <t>DRI  14-18 yo (F)</t>
  </si>
  <si>
    <t>% DRI  14-18 yo (F)</t>
  </si>
  <si>
    <t>DRI  &lt;19 yo Pregnant</t>
  </si>
  <si>
    <t>% DRI  &lt;19 yo Pregnant</t>
  </si>
  <si>
    <t>DRI  &lt;19 yo Lactation</t>
  </si>
  <si>
    <t>% DRI  &lt;19 yo Lactation</t>
  </si>
  <si>
    <t>DRI  19-30 yo (M)</t>
  </si>
  <si>
    <t>% DRI  19-30 yo (M)</t>
  </si>
  <si>
    <t>DRI  19-30 yo (F)</t>
  </si>
  <si>
    <t>% DRI  19-30 yo (F)</t>
  </si>
  <si>
    <t>DRI  19-30 yo Pregnant</t>
  </si>
  <si>
    <t>% DRI  19-30 yo Pregnant</t>
  </si>
  <si>
    <t>DRI  19-30 yo Lactation</t>
  </si>
  <si>
    <t>% DRI  19-30 yo Lactation</t>
  </si>
  <si>
    <t>DRI  31-50 yo (M)</t>
  </si>
  <si>
    <t>% DRI  31-50 yo (M)</t>
  </si>
  <si>
    <t>DRI  31-50 yo (F)</t>
  </si>
  <si>
    <t>% DRI  31-50 yo (F)</t>
  </si>
  <si>
    <t>DRI  31-50 yo Pregnant</t>
  </si>
  <si>
    <t>% DRI  31-50 yo Pregnant</t>
  </si>
  <si>
    <t>DRI  31-50 yo Lactation</t>
  </si>
  <si>
    <t>% DRI 31-50 yo Lactation</t>
  </si>
  <si>
    <t>DRI  51-70 yo (M)</t>
  </si>
  <si>
    <t>% DRI 51-70 yo (M)</t>
  </si>
  <si>
    <t>DRI  51-70 yo (F)</t>
  </si>
  <si>
    <t>% DRI  51-70 yo (F)</t>
  </si>
  <si>
    <t>DRI  &gt;70 yo (M)</t>
  </si>
  <si>
    <t>% DRI &gt;70 yo (M)</t>
  </si>
  <si>
    <t>DRI  &gt;70 yo (F)</t>
  </si>
  <si>
    <t>% DRI  &gt;70 yo (F)</t>
  </si>
  <si>
    <t>Choline, mg</t>
  </si>
  <si>
    <t>Inositol, mg</t>
  </si>
  <si>
    <t>N/A</t>
  </si>
  <si>
    <t xml:space="preserve">MINERALS </t>
  </si>
  <si>
    <t>DRI 31-50 yo Pregnant</t>
  </si>
  <si>
    <t>% DRI 31-50 yo Pregnant</t>
  </si>
  <si>
    <t>% DRI  31-50 yo Lactation</t>
  </si>
  <si>
    <t>Calcium, mg</t>
  </si>
  <si>
    <t>Phosphorus, mg</t>
  </si>
  <si>
    <t>Magnesium, mg</t>
  </si>
  <si>
    <t>Iron, mg</t>
  </si>
  <si>
    <t>Zinc, mg</t>
  </si>
  <si>
    <t>Manganese, mg</t>
  </si>
  <si>
    <t>Sodium, mg</t>
  </si>
  <si>
    <t>Potassium, mg</t>
  </si>
  <si>
    <t>Chloride, mg</t>
  </si>
  <si>
    <t xml:space="preserve">Concentration </t>
  </si>
  <si>
    <t xml:space="preserve">Powder (g) </t>
  </si>
  <si>
    <t xml:space="preserve">Water (ml) </t>
  </si>
  <si>
    <t xml:space="preserve">Final Volume (ml) </t>
  </si>
  <si>
    <t xml:space="preserve">Osmolality mOsm/ kg </t>
  </si>
  <si>
    <t>Potential Renal Solute Load mOsm/L</t>
  </si>
  <si>
    <t>0.67kcal/ml (20kcal/fl oz</t>
  </si>
  <si>
    <t>0.8kcal/ml (24kcal/fl oz)</t>
  </si>
  <si>
    <t>1kcal/ml (30kcal/fl oz)</t>
  </si>
  <si>
    <t xml:space="preserve">Dosage &amp; Administration </t>
  </si>
  <si>
    <t>Tube Feeding</t>
  </si>
  <si>
    <t>Important Feeding Information</t>
  </si>
  <si>
    <t>Level, unpacked household measures (g)**</t>
  </si>
  <si>
    <t>2.3 </t>
  </si>
  <si>
    <t>1 tablespoon </t>
  </si>
  <si>
    <t>6.9 </t>
  </si>
  <si>
    <t>1/4 cup </t>
  </si>
  <si>
    <t>27.6 </t>
  </si>
  <si>
    <t>1/3 cup </t>
  </si>
  <si>
    <t>36.8 </t>
  </si>
  <si>
    <t>1/2 cup </t>
  </si>
  <si>
    <t>55.2 </t>
  </si>
  <si>
    <t> 1 teaspoon </t>
  </si>
  <si>
    <t>Calorie/fl oz needed</t>
  </si>
  <si>
    <t>kcal/mL</t>
  </si>
  <si>
    <t>Final Volume, fl oz</t>
  </si>
  <si>
    <t>mL</t>
  </si>
  <si>
    <t>Total calories</t>
  </si>
  <si>
    <t>Lipistart powder, g</t>
  </si>
  <si>
    <t>approx. scoops</t>
  </si>
  <si>
    <t>Displacement, fl oz</t>
  </si>
  <si>
    <t>Water, fl oz</t>
  </si>
  <si>
    <t>Based on a desired dilution and specific number of scoops:</t>
  </si>
  <si>
    <t>Number of Lipistart scoops</t>
  </si>
  <si>
    <t>g Lipistart powder</t>
  </si>
  <si>
    <t>Approx. final volume, fl oz</t>
  </si>
  <si>
    <t>Determine a dilution based on amount of powder and water:</t>
  </si>
  <si>
    <t>Amount of water, mL</t>
  </si>
  <si>
    <t>fl oz</t>
  </si>
  <si>
    <t>Calories per fl oz</t>
  </si>
  <si>
    <t>Based on a desired dilution and specific final volume:</t>
  </si>
  <si>
    <t>Quick Reference Guide</t>
  </si>
  <si>
    <t>To be determined by the clinician or dietitian. The standard dilution of 20 kcal/oz (0.68 kcals/mL) is made by adding 1 level scoop of Lipistart (approx 5g) to 30ml of water (approx 1 fluid oz).</t>
  </si>
  <si>
    <t xml:space="preserve">Household measurements are based on standard US, dry household measures. All measures are level and unpacked. These values are approximations only and have been provided for convenience: results can vary significantly based on the individual, device, and method. Vitaflo recommends using a gram scale for greatest accuracy. The scoop Vitaflo provides has been validated with Vitaflo products, so is preferable to household measurements. </t>
  </si>
  <si>
    <t>kcal</t>
  </si>
  <si>
    <t>Based on a desired dilution and total calories:</t>
  </si>
  <si>
    <t>Displacement factor ml/1g powder = 0.8</t>
  </si>
  <si>
    <t>1 level, unpacked scoop weighs approximately 5g powder</t>
  </si>
  <si>
    <t xml:space="preserve">   as LCT, g  (7.4 % of total energy)</t>
  </si>
  <si>
    <t xml:space="preserve">   as MCT, g (32 % of total energy)</t>
  </si>
  <si>
    <r>
      <rPr>
        <b/>
        <sz val="18"/>
        <color indexed="8"/>
        <rFont val="Calibri"/>
      </rPr>
      <t>To use this calculator:</t>
    </r>
    <r>
      <rPr>
        <sz val="18"/>
        <color indexed="8"/>
        <rFont val="Calibri"/>
        <family val="2"/>
      </rPr>
      <t xml:space="preserve">
Step 1. Select the appropriate calculator and enter the desired amounts in the orange boxes and press enter.
Step 2. The values in the lower boxes will change based on the values entered.
Step 3. For more information on preparation of Lipistart™ for oral or tube feeding, jump to the preparation guidelines in the next tab.</t>
    </r>
  </si>
  <si>
    <t>Please follow these guidelines
carefully as incorrect preparation can
make your child ill.
1. Wash hands well. Sterilize feeding
equipment.
2. Boil water and leave to cool for no
more than 30 minutes to ensure it
remains at a temperature of at least
158˚F (70˚C).
3. Measure out the required amount
of water into the feed container. Do
not use artificially softened water or
repeatedly boiled water.
4. Using the scoop provided, add the
prescribed number of scoops of
Lipistart to the water, leveling each
scoop off with the back of a clean
dry knife.
5. Test the temperature before
feeding – the feed should feel
warm or cool but not hot.
6. Lipistart is now ready to use.</t>
  </si>
  <si>
    <t>Preparation Guidelines</t>
  </si>
  <si>
    <t xml:space="preserve">Medical food intended for use under medical supervision. Must be used under strict medical supervision with regular monitoring of nutritional status. Suitable from 1 year of age. Not for intravenous use.
Do not heat Lipistart in a microwave as uneven heating may occur and could cause scalding. Do not boil Lipistart. If preparing formula in advance, cool quickly under running water before storing in the fridge. Regular teeth cleaning is recommended.
</t>
  </si>
  <si>
    <t>DRI
0-6 months*</t>
  </si>
  <si>
    <t>% DRI
0-6
months*</t>
  </si>
  <si>
    <t>DRI
7-12 months*</t>
  </si>
  <si>
    <t>% DRI
7-12
months*</t>
  </si>
  <si>
    <t>DRI 0-6 months*</t>
  </si>
  <si>
    <t>%DRI 0-6 months*</t>
  </si>
  <si>
    <t>DRI 7-12 months*</t>
  </si>
  <si>
    <t>%DRI     7-12 months*</t>
  </si>
  <si>
    <t>Lipistart®                                                                                    DRI Calculator</t>
  </si>
  <si>
    <t>%DRI 7-12 months*</t>
  </si>
  <si>
    <t>1.2kcal/ml (36 kcal/fl oz)</t>
  </si>
  <si>
    <t>1.5kcal/ml (45 kcal/fl oz)</t>
  </si>
  <si>
    <t>Product, g</t>
  </si>
  <si>
    <t xml:space="preserve">Instructions: This calculator is for use by healthcare professionals only. In cell B5, enter the amount of calories desired or being provided from the respective Vitaminaflo product. Press [Enter]. The percentages of DRIs will change based on calories entered.  </t>
  </si>
  <si>
    <t>A nutritionally complete powdered formula containing whey protein, carbohydrate, fat (high in medium chain triglycerides (MCT) and low in long chain triglycerides (LCT)), Vitaminamins, minerals and trace elements.  
Suitable from 1 year of age*</t>
  </si>
  <si>
    <t>Vitaminaflo USA: Innovation in Nutrition</t>
  </si>
  <si>
    <t>VitaminAMINS</t>
  </si>
  <si>
    <t>Vitamin E, mg α-TE</t>
  </si>
  <si>
    <t>Vitamin B6, mg</t>
  </si>
  <si>
    <t>Vitamin C, mg</t>
  </si>
  <si>
    <t>Vitamin A, µg RE</t>
  </si>
  <si>
    <t>Vitamin K, µg</t>
  </si>
  <si>
    <t>Vitamin B12, µg</t>
  </si>
  <si>
    <t>Biotin, µg</t>
  </si>
  <si>
    <t>Copper, µg</t>
  </si>
  <si>
    <t>Iodine, µg</t>
  </si>
  <si>
    <t>Molybdenum, µg</t>
  </si>
  <si>
    <t>Chromium, µg</t>
  </si>
  <si>
    <t>Selenium, µg</t>
  </si>
  <si>
    <t>Vitamin D, µg</t>
  </si>
  <si>
    <t xml:space="preserve">     Vitamin D, IU</t>
  </si>
  <si>
    <r>
      <t>Thiamin B</t>
    </r>
    <r>
      <rPr>
        <b/>
        <sz val="10"/>
        <color indexed="56"/>
        <rFont val="Arial"/>
        <family val="2"/>
      </rPr>
      <t>, mg</t>
    </r>
  </si>
  <si>
    <r>
      <t>Riboflavin B</t>
    </r>
    <r>
      <rPr>
        <b/>
        <sz val="10"/>
        <color indexed="56"/>
        <rFont val="Arial"/>
        <family val="2"/>
      </rPr>
      <t>, mg</t>
    </r>
  </si>
  <si>
    <r>
      <t>Niacin</t>
    </r>
    <r>
      <rPr>
        <b/>
        <sz val="10"/>
        <color indexed="56"/>
        <rFont val="Arial"/>
        <family val="2"/>
      </rPr>
      <t>, mg</t>
    </r>
  </si>
  <si>
    <t>Folic acid, µg</t>
  </si>
  <si>
    <r>
      <t>Pantothenic acid</t>
    </r>
    <r>
      <rPr>
        <b/>
        <sz val="10"/>
        <color indexed="56"/>
        <rFont val="Arial"/>
        <family val="2"/>
      </rPr>
      <t>, mg</t>
    </r>
  </si>
  <si>
    <t>†Fluid ounces are rounded to the nearest 0.1 fl oz. Milliliter volumes are more accurate and rounded to the nearest mL. Scoops are rounded to the nearest scoop. 
1 level, unpacked scoop weighs spproximately 5g of powder. 
Please see the Preparation tab for household measurements. Calculations are based on 4.5 kcal/g, approximate weight of 5g/scoop, and an approximate displacement of 0.8 mL/g.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</si>
</sst>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quot;Product, g &quot;\ 0.0"/>
    <numFmt numFmtId="166" formatCode="0;[Red]0"/>
    <numFmt numFmtId="167" formatCode="0.0;[Red]0.0"/>
    <numFmt numFmtId="168" formatCode="0.000"/>
  </numFmts>
  <fonts count="39" x14ac:knownFonts="1">
    <font>
      <sz val="11"/>
      <color theme="1"/>
      <name val="Calibri"/>
      <family val="2"/>
      <scheme val="minor"/>
    </font>
    <font>
      <sz val="10"/>
      <name val="Arial"/>
      <family val="2"/>
    </font>
    <font>
      <sz val="11"/>
      <color indexed="8"/>
      <name val="Calibri"/>
      <family val="2"/>
    </font>
    <font>
      <b/>
      <sz val="10"/>
      <name val="Arial"/>
      <family val="2"/>
    </font>
    <font>
      <sz val="14"/>
      <name val="Arial Black"/>
      <family val="2"/>
    </font>
    <font>
      <b/>
      <sz val="10"/>
      <color indexed="8"/>
      <name val="Arial"/>
      <family val="2"/>
    </font>
    <font>
      <sz val="10"/>
      <color indexed="8"/>
      <name val="Arial"/>
      <family val="2"/>
    </font>
    <font>
      <b/>
      <sz val="10"/>
      <color indexed="56"/>
      <name val="Arial"/>
      <family val="2"/>
    </font>
    <font>
      <b/>
      <sz val="12"/>
      <color indexed="10"/>
      <name val="Arial"/>
      <family val="2"/>
    </font>
    <font>
      <sz val="18"/>
      <color indexed="8"/>
      <name val="Calibri"/>
      <family val="2"/>
    </font>
    <font>
      <b/>
      <sz val="12"/>
      <name val="Arial"/>
      <family val="2"/>
    </font>
    <font>
      <b/>
      <sz val="18"/>
      <name val="Calibri"/>
      <family val="2"/>
    </font>
    <font>
      <b/>
      <sz val="18"/>
      <color indexed="8"/>
      <name val="Calibri"/>
    </font>
    <font>
      <b/>
      <sz val="16"/>
      <name val="Arial Black"/>
      <family val="2"/>
    </font>
    <font>
      <b/>
      <sz val="14"/>
      <name val="Arial"/>
      <family val="2"/>
    </font>
    <font>
      <sz val="11"/>
      <color theme="0"/>
      <name val="Calibri"/>
      <family val="2"/>
      <scheme val="minor"/>
    </font>
    <font>
      <b/>
      <sz val="10"/>
      <color rgb="FF12285F"/>
      <name val="Arial"/>
      <family val="2"/>
    </font>
    <font>
      <b/>
      <sz val="12"/>
      <color theme="0"/>
      <name val="Arial"/>
      <family val="2"/>
    </font>
    <font>
      <sz val="10"/>
      <color theme="0"/>
      <name val="Arial"/>
      <family val="2"/>
    </font>
    <font>
      <b/>
      <i/>
      <sz val="16"/>
      <color rgb="FF000000"/>
      <name val="Calibri"/>
      <family val="2"/>
      <scheme val="minor"/>
    </font>
    <font>
      <sz val="14"/>
      <color rgb="FF000000"/>
      <name val="Calibri"/>
      <family val="2"/>
      <scheme val="minor"/>
    </font>
    <font>
      <sz val="16"/>
      <color theme="1"/>
      <name val="Calibri"/>
      <family val="2"/>
      <scheme val="minor"/>
    </font>
    <font>
      <sz val="11"/>
      <color rgb="FF000000"/>
      <name val="Calibri"/>
      <family val="2"/>
      <scheme val="minor"/>
    </font>
    <font>
      <sz val="18"/>
      <color rgb="FF000000"/>
      <name val="Calibri"/>
      <family val="2"/>
      <scheme val="minor"/>
    </font>
    <font>
      <sz val="18"/>
      <color theme="1"/>
      <name val="Calibri"/>
      <family val="2"/>
      <scheme val="minor"/>
    </font>
    <font>
      <sz val="12"/>
      <color theme="1"/>
      <name val="Arial"/>
      <family val="2"/>
    </font>
    <font>
      <sz val="12"/>
      <color theme="1"/>
      <name val="Calibri"/>
      <family val="2"/>
      <scheme val="minor"/>
    </font>
    <font>
      <sz val="11"/>
      <color theme="1"/>
      <name val="Arial"/>
      <family val="2"/>
    </font>
    <font>
      <b/>
      <sz val="18"/>
      <color theme="9"/>
      <name val="Arial"/>
      <family val="2"/>
    </font>
    <font>
      <b/>
      <sz val="22"/>
      <color theme="9"/>
      <name val="Arial"/>
      <family val="2"/>
    </font>
    <font>
      <b/>
      <sz val="12"/>
      <color theme="1"/>
      <name val="Arial"/>
      <family val="2"/>
    </font>
    <font>
      <b/>
      <sz val="10"/>
      <color rgb="FF002060"/>
      <name val="Arial"/>
      <family val="2"/>
    </font>
    <font>
      <sz val="14"/>
      <color rgb="FF12285F"/>
      <name val="Arial Black"/>
      <family val="2"/>
    </font>
    <font>
      <b/>
      <sz val="12"/>
      <color rgb="FF12285F"/>
      <name val="Arial Black"/>
      <family val="2"/>
    </font>
    <font>
      <b/>
      <sz val="12"/>
      <color rgb="FF12285F"/>
      <name val="Arial"/>
      <family val="2"/>
    </font>
    <font>
      <b/>
      <sz val="18"/>
      <color rgb="FFF79646"/>
      <name val="Arial"/>
      <family val="2"/>
    </font>
    <font>
      <i/>
      <sz val="10"/>
      <color theme="1"/>
      <name val="Arial"/>
      <family val="2"/>
    </font>
    <font>
      <b/>
      <sz val="11"/>
      <color theme="1"/>
      <name val="Arial"/>
      <family val="2"/>
    </font>
    <font>
      <b/>
      <sz val="16"/>
      <color theme="9"/>
      <name val="Arial"/>
      <family val="2"/>
    </font>
  </fonts>
  <fills count="27">
    <fill>
      <patternFill patternType="none"/>
    </fill>
    <fill>
      <patternFill patternType="gray125"/>
    </fill>
    <fill>
      <patternFill patternType="solid">
        <fgColor indexed="22"/>
        <bgColor indexed="22"/>
      </patternFill>
    </fill>
    <fill>
      <patternFill patternType="lightGray">
        <fgColor indexed="22"/>
        <bgColor indexed="22"/>
      </patternFill>
    </fill>
    <fill>
      <patternFill patternType="solid">
        <fgColor indexed="22"/>
        <bgColor indexed="24"/>
      </patternFill>
    </fill>
    <fill>
      <patternFill patternType="solid">
        <fgColor indexed="65"/>
        <bgColor indexed="22"/>
      </patternFill>
    </fill>
    <fill>
      <patternFill patternType="lightGray">
        <fgColor indexed="22"/>
      </patternFill>
    </fill>
    <fill>
      <patternFill patternType="solid">
        <fgColor indexed="9"/>
        <bgColor indexed="64"/>
      </patternFill>
    </fill>
    <fill>
      <patternFill patternType="lightGray">
        <fgColor indexed="22"/>
        <bgColor indexed="9"/>
      </patternFill>
    </fill>
    <fill>
      <patternFill patternType="solid">
        <fgColor indexed="9"/>
        <bgColor indexed="24"/>
      </patternFill>
    </fill>
    <fill>
      <patternFill patternType="solid">
        <fgColor indexed="22"/>
        <bgColor indexed="64"/>
      </patternFill>
    </fill>
    <fill>
      <patternFill patternType="solid">
        <fgColor rgb="FF12285F"/>
        <bgColor indexed="64"/>
      </patternFill>
    </fill>
    <fill>
      <patternFill patternType="lightGray">
        <fgColor indexed="22"/>
        <bgColor rgb="FFFD773E"/>
      </patternFill>
    </fill>
    <fill>
      <patternFill patternType="lightGray">
        <fgColor indexed="22"/>
        <bgColor rgb="FF12285F"/>
      </patternFill>
    </fill>
    <fill>
      <patternFill patternType="solid">
        <fgColor rgb="FFFD773E"/>
        <bgColor indexed="64"/>
      </patternFill>
    </fill>
    <fill>
      <patternFill patternType="solid">
        <fgColor theme="3"/>
        <bgColor indexed="64"/>
      </patternFill>
    </fill>
    <fill>
      <patternFill patternType="solid">
        <fgColor theme="0"/>
        <bgColor indexed="64"/>
      </patternFill>
    </fill>
    <fill>
      <patternFill patternType="solid">
        <fgColor rgb="FFFFFFFF"/>
        <bgColor rgb="FF000000"/>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9" tint="0.59999389629810485"/>
        <bgColor rgb="FF000000"/>
      </patternFill>
    </fill>
    <fill>
      <patternFill patternType="solid">
        <fgColor theme="0"/>
        <bgColor rgb="FF000000"/>
      </patternFill>
    </fill>
    <fill>
      <patternFill patternType="solid">
        <fgColor rgb="FFFDE9D9"/>
        <bgColor rgb="FF000000"/>
      </patternFill>
    </fill>
    <fill>
      <patternFill patternType="lightGray">
        <fgColor indexed="22"/>
        <bgColor theme="0" tint="-0.249977111117893"/>
      </patternFill>
    </fill>
    <fill>
      <patternFill patternType="solid">
        <fgColor theme="0" tint="-0.249977111117893"/>
        <bgColor indexed="64"/>
      </patternFill>
    </fill>
    <fill>
      <patternFill patternType="lightGray">
        <fgColor indexed="22"/>
        <bgColor rgb="FFFD773F"/>
      </patternFill>
    </fill>
    <fill>
      <patternFill patternType="solid">
        <fgColor rgb="FFFD773F"/>
        <bgColor indexed="64"/>
      </patternFill>
    </fill>
  </fills>
  <borders count="100">
    <border>
      <left/>
      <right/>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8"/>
      </left>
      <right style="thick">
        <color indexed="64"/>
      </right>
      <top style="medium">
        <color indexed="64"/>
      </top>
      <bottom/>
      <diagonal/>
    </border>
    <border>
      <left style="thick">
        <color indexed="64"/>
      </left>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ck">
        <color indexed="64"/>
      </right>
      <top/>
      <bottom style="thin">
        <color indexed="8"/>
      </bottom>
      <diagonal/>
    </border>
    <border>
      <left style="thick">
        <color indexed="64"/>
      </left>
      <right style="thin">
        <color indexed="64"/>
      </right>
      <top/>
      <bottom style="thin">
        <color indexed="64"/>
      </bottom>
      <diagonal/>
    </border>
    <border>
      <left style="thin">
        <color indexed="8"/>
      </left>
      <right style="thick">
        <color indexed="64"/>
      </right>
      <top style="thin">
        <color indexed="8"/>
      </top>
      <bottom style="thin">
        <color indexed="8"/>
      </bottom>
      <diagonal/>
    </border>
    <border>
      <left style="thick">
        <color indexed="64"/>
      </left>
      <right/>
      <top style="thin">
        <color indexed="8"/>
      </top>
      <bottom style="thin">
        <color indexed="8"/>
      </bottom>
      <diagonal/>
    </border>
    <border>
      <left style="thick">
        <color indexed="64"/>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ck">
        <color indexed="64"/>
      </left>
      <right style="thin">
        <color indexed="8"/>
      </right>
      <top style="thin">
        <color indexed="8"/>
      </top>
      <bottom style="thin">
        <color indexed="8"/>
      </bottom>
      <diagonal/>
    </border>
    <border>
      <left style="thick">
        <color indexed="64"/>
      </left>
      <right style="thin">
        <color indexed="64"/>
      </right>
      <top style="thin">
        <color indexed="8"/>
      </top>
      <bottom/>
      <diagonal/>
    </border>
    <border>
      <left style="thick">
        <color indexed="64"/>
      </left>
      <right style="thin">
        <color indexed="8"/>
      </right>
      <top style="thin">
        <color indexed="8"/>
      </top>
      <bottom/>
      <diagonal/>
    </border>
    <border>
      <left style="medium">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ck">
        <color indexed="64"/>
      </left>
      <right/>
      <top/>
      <bottom style="thin">
        <color indexed="8"/>
      </bottom>
      <diagonal/>
    </border>
    <border>
      <left style="thick">
        <color indexed="64"/>
      </left>
      <right/>
      <top style="thin">
        <color indexed="8"/>
      </top>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style="thin">
        <color indexed="64"/>
      </right>
      <top style="thin">
        <color indexed="64"/>
      </top>
      <bottom style="medium">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diagonal/>
    </border>
    <border>
      <left style="medium">
        <color indexed="64"/>
      </left>
      <right/>
      <top style="thin">
        <color indexed="8"/>
      </top>
      <bottom style="thin">
        <color indexed="64"/>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top style="medium">
        <color indexed="64"/>
      </top>
      <bottom style="thin">
        <color indexed="8"/>
      </bottom>
      <diagonal/>
    </border>
    <border>
      <left style="thin">
        <color indexed="8"/>
      </left>
      <right/>
      <top style="thin">
        <color indexed="8"/>
      </top>
      <bottom/>
      <diagonal/>
    </border>
    <border>
      <left style="thin">
        <color indexed="8"/>
      </left>
      <right/>
      <top style="medium">
        <color indexed="64"/>
      </top>
      <bottom/>
      <diagonal/>
    </border>
    <border>
      <left style="thin">
        <color indexed="8"/>
      </left>
      <right/>
      <top/>
      <bottom style="thin">
        <color indexed="8"/>
      </bottom>
      <diagonal/>
    </border>
    <border>
      <left/>
      <right/>
      <top style="thin">
        <color indexed="8"/>
      </top>
      <bottom/>
      <diagonal/>
    </border>
    <border>
      <left style="thin">
        <color indexed="8"/>
      </left>
      <right/>
      <top style="thin">
        <color indexed="64"/>
      </top>
      <bottom style="medium">
        <color indexed="64"/>
      </bottom>
      <diagonal/>
    </border>
    <border>
      <left style="thick">
        <color indexed="64"/>
      </left>
      <right style="thin">
        <color indexed="8"/>
      </right>
      <top style="medium">
        <color indexed="64"/>
      </top>
      <bottom/>
      <diagonal/>
    </border>
    <border>
      <left/>
      <right style="thick">
        <color indexed="64"/>
      </right>
      <top style="medium">
        <color indexed="64"/>
      </top>
      <bottom style="thin">
        <color indexed="8"/>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8"/>
      </right>
      <top style="thin">
        <color indexed="8"/>
      </top>
      <bottom style="thin">
        <color indexed="64"/>
      </bottom>
      <diagonal/>
    </border>
    <border>
      <left/>
      <right style="thick">
        <color indexed="64"/>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style="medium">
        <color indexed="64"/>
      </top>
      <bottom style="thin">
        <color indexed="8"/>
      </bottom>
      <diagonal/>
    </border>
    <border>
      <left style="thick">
        <color indexed="64"/>
      </left>
      <right style="thin">
        <color indexed="8"/>
      </right>
      <top/>
      <bottom style="thin">
        <color indexed="8"/>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8"/>
      </top>
      <bottom style="thin">
        <color indexed="8"/>
      </bottom>
      <diagonal/>
    </border>
    <border>
      <left style="thin">
        <color indexed="64"/>
      </left>
      <right style="thick">
        <color indexed="64"/>
      </right>
      <top style="thin">
        <color indexed="8"/>
      </top>
      <bottom style="thin">
        <color indexed="8"/>
      </bottom>
      <diagonal/>
    </border>
    <border>
      <left/>
      <right style="thin">
        <color indexed="64"/>
      </right>
      <top style="thin">
        <color indexed="64"/>
      </top>
      <bottom/>
      <diagonal/>
    </border>
    <border>
      <left/>
      <right style="thick">
        <color indexed="64"/>
      </right>
      <top/>
      <bottom style="thin">
        <color indexed="8"/>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ck">
        <color indexed="64"/>
      </right>
      <top style="medium">
        <color indexed="64"/>
      </top>
      <bottom/>
      <diagonal/>
    </border>
    <border>
      <left style="thin">
        <color indexed="64"/>
      </left>
      <right style="thick">
        <color indexed="64"/>
      </right>
      <top/>
      <bottom/>
      <diagonal/>
    </border>
    <border>
      <left style="thick">
        <color indexed="64"/>
      </left>
      <right style="thin">
        <color indexed="64"/>
      </right>
      <top style="medium">
        <color indexed="64"/>
      </top>
      <bottom/>
      <diagonal/>
    </border>
    <border>
      <left style="thick">
        <color indexed="64"/>
      </left>
      <right style="thin">
        <color indexed="64"/>
      </right>
      <top/>
      <bottom/>
      <diagonal/>
    </border>
    <border>
      <left/>
      <right/>
      <top/>
      <bottom style="medium">
        <color indexed="64"/>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bottom style="thin">
        <color theme="9" tint="-0.249977111117893"/>
      </bottom>
      <diagonal/>
    </border>
    <border>
      <left style="medium">
        <color theme="9" tint="-0.249977111117893"/>
      </left>
      <right style="medium">
        <color theme="9" tint="-0.249977111117893"/>
      </right>
      <top style="medium">
        <color theme="9" tint="-0.249977111117893"/>
      </top>
      <bottom style="thin">
        <color theme="9" tint="-0.249977111117893"/>
      </bottom>
      <diagonal/>
    </border>
    <border>
      <left style="medium">
        <color theme="9" tint="-0.249977111117893"/>
      </left>
      <right style="medium">
        <color theme="9" tint="-0.249977111117893"/>
      </right>
      <top style="thin">
        <color theme="9" tint="-0.249977111117893"/>
      </top>
      <bottom style="medium">
        <color theme="9" tint="-0.249977111117893"/>
      </bottom>
      <diagonal/>
    </border>
    <border>
      <left style="medium">
        <color theme="9" tint="-0.249977111117893"/>
      </left>
      <right/>
      <top style="medium">
        <color theme="9" tint="-0.249977111117893"/>
      </top>
      <bottom style="thin">
        <color theme="9" tint="-0.249977111117893"/>
      </bottom>
      <diagonal/>
    </border>
    <border>
      <left style="medium">
        <color theme="9" tint="-0.249977111117893"/>
      </left>
      <right/>
      <top style="thin">
        <color theme="9" tint="-0.249977111117893"/>
      </top>
      <bottom style="medium">
        <color theme="9" tint="-0.249977111117893"/>
      </bottom>
      <diagonal/>
    </border>
  </borders>
  <cellStyleXfs count="11">
    <xf numFmtId="0" fontId="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340">
    <xf numFmtId="0" fontId="0" fillId="0" borderId="0" xfId="0"/>
    <xf numFmtId="0" fontId="4" fillId="0" borderId="1" xfId="2" applyFont="1" applyBorder="1" applyAlignment="1" applyProtection="1">
      <alignment horizontal="center" vertical="center" wrapText="1"/>
    </xf>
    <xf numFmtId="0" fontId="1" fillId="0" borderId="2" xfId="2" applyBorder="1" applyProtection="1"/>
    <xf numFmtId="0" fontId="1" fillId="0" borderId="3" xfId="2" applyBorder="1" applyProtection="1"/>
    <xf numFmtId="9" fontId="6" fillId="2" borderId="4" xfId="2" applyNumberFormat="1" applyFont="1" applyFill="1" applyBorder="1" applyAlignment="1" applyProtection="1"/>
    <xf numFmtId="1" fontId="6" fillId="3" borderId="5" xfId="2" applyNumberFormat="1" applyFont="1" applyFill="1" applyBorder="1" applyAlignment="1" applyProtection="1"/>
    <xf numFmtId="9" fontId="6" fillId="4" borderId="4" xfId="2" applyNumberFormat="1" applyFont="1" applyFill="1" applyBorder="1" applyAlignment="1" applyProtection="1"/>
    <xf numFmtId="9" fontId="6" fillId="5" borderId="6" xfId="2" applyNumberFormat="1" applyFont="1" applyFill="1" applyBorder="1" applyAlignment="1" applyProtection="1"/>
    <xf numFmtId="1" fontId="6" fillId="6" borderId="7" xfId="2" applyNumberFormat="1" applyFont="1" applyFill="1" applyBorder="1" applyAlignment="1" applyProtection="1"/>
    <xf numFmtId="9" fontId="6" fillId="0" borderId="6" xfId="2" applyNumberFormat="1" applyFont="1" applyFill="1" applyBorder="1" applyAlignment="1" applyProtection="1"/>
    <xf numFmtId="0" fontId="6" fillId="6" borderId="7" xfId="2" applyFont="1" applyFill="1" applyBorder="1" applyAlignment="1" applyProtection="1"/>
    <xf numFmtId="9" fontId="6" fillId="0" borderId="8" xfId="2" applyNumberFormat="1" applyFont="1" applyFill="1" applyBorder="1" applyAlignment="1" applyProtection="1"/>
    <xf numFmtId="9" fontId="6" fillId="7" borderId="6" xfId="2" applyNumberFormat="1" applyFont="1" applyFill="1" applyBorder="1" applyAlignment="1" applyProtection="1"/>
    <xf numFmtId="1" fontId="6" fillId="7" borderId="7" xfId="2" applyNumberFormat="1" applyFont="1" applyFill="1" applyBorder="1" applyAlignment="1" applyProtection="1"/>
    <xf numFmtId="0" fontId="6" fillId="7" borderId="7" xfId="2" applyFont="1" applyFill="1" applyBorder="1" applyAlignment="1" applyProtection="1"/>
    <xf numFmtId="9" fontId="6" fillId="7" borderId="8" xfId="2" applyNumberFormat="1" applyFont="1" applyFill="1" applyBorder="1" applyAlignment="1" applyProtection="1"/>
    <xf numFmtId="0" fontId="6" fillId="8" borderId="7" xfId="2" applyFont="1" applyFill="1" applyBorder="1" applyAlignment="1" applyProtection="1"/>
    <xf numFmtId="9" fontId="6" fillId="7" borderId="9" xfId="2" applyNumberFormat="1" applyFont="1" applyFill="1" applyBorder="1" applyAlignment="1" applyProtection="1"/>
    <xf numFmtId="0" fontId="1" fillId="6" borderId="7" xfId="2" applyFont="1" applyFill="1" applyBorder="1" applyProtection="1"/>
    <xf numFmtId="9" fontId="1" fillId="0" borderId="10" xfId="10" applyFont="1" applyBorder="1" applyProtection="1"/>
    <xf numFmtId="0" fontId="1" fillId="6" borderId="11" xfId="2" applyFont="1" applyFill="1" applyBorder="1" applyProtection="1"/>
    <xf numFmtId="0" fontId="1" fillId="6" borderId="12" xfId="2" applyFont="1" applyFill="1" applyBorder="1" applyProtection="1"/>
    <xf numFmtId="1" fontId="6" fillId="3" borderId="7" xfId="2" applyNumberFormat="1" applyFont="1" applyFill="1" applyBorder="1" applyAlignment="1" applyProtection="1"/>
    <xf numFmtId="9" fontId="6" fillId="4" borderId="6" xfId="2" applyNumberFormat="1" applyFont="1" applyFill="1" applyBorder="1" applyAlignment="1" applyProtection="1"/>
    <xf numFmtId="9" fontId="6" fillId="4" borderId="13" xfId="2" applyNumberFormat="1" applyFont="1" applyFill="1" applyBorder="1" applyAlignment="1" applyProtection="1"/>
    <xf numFmtId="0" fontId="6" fillId="3" borderId="14" xfId="2" applyFont="1" applyFill="1" applyBorder="1" applyAlignment="1" applyProtection="1"/>
    <xf numFmtId="9" fontId="6" fillId="9" borderId="15" xfId="2" applyNumberFormat="1" applyFont="1" applyFill="1" applyBorder="1" applyAlignment="1" applyProtection="1"/>
    <xf numFmtId="1" fontId="6" fillId="8" borderId="16" xfId="2" applyNumberFormat="1" applyFont="1" applyFill="1" applyBorder="1" applyAlignment="1" applyProtection="1"/>
    <xf numFmtId="0" fontId="6" fillId="3" borderId="7" xfId="2" applyFont="1" applyFill="1" applyBorder="1" applyAlignment="1" applyProtection="1"/>
    <xf numFmtId="0" fontId="6" fillId="8" borderId="17" xfId="6" applyFont="1" applyFill="1" applyBorder="1" applyAlignment="1" applyProtection="1"/>
    <xf numFmtId="9" fontId="6" fillId="9" borderId="18" xfId="2" applyNumberFormat="1" applyFont="1" applyFill="1" applyBorder="1" applyAlignment="1" applyProtection="1"/>
    <xf numFmtId="0" fontId="6" fillId="6" borderId="19" xfId="8" applyFont="1" applyFill="1" applyBorder="1" applyAlignment="1" applyProtection="1"/>
    <xf numFmtId="1" fontId="1" fillId="6" borderId="12" xfId="2" applyNumberFormat="1" applyFont="1" applyFill="1" applyBorder="1" applyProtection="1"/>
    <xf numFmtId="9" fontId="1" fillId="0" borderId="10" xfId="2" applyNumberFormat="1" applyFont="1" applyBorder="1" applyProtection="1"/>
    <xf numFmtId="1" fontId="1" fillId="6" borderId="11" xfId="2" applyNumberFormat="1" applyFont="1" applyFill="1" applyBorder="1" applyProtection="1"/>
    <xf numFmtId="9" fontId="1" fillId="0" borderId="9" xfId="2" applyNumberFormat="1" applyFont="1" applyBorder="1" applyProtection="1"/>
    <xf numFmtId="9" fontId="1" fillId="0" borderId="6" xfId="10" applyFont="1" applyBorder="1" applyProtection="1"/>
    <xf numFmtId="9" fontId="1" fillId="0" borderId="9" xfId="10" applyFont="1" applyBorder="1" applyProtection="1"/>
    <xf numFmtId="0" fontId="6" fillId="3" borderId="17" xfId="6" applyFont="1" applyFill="1" applyBorder="1" applyAlignment="1" applyProtection="1"/>
    <xf numFmtId="9" fontId="6" fillId="4" borderId="18" xfId="2" applyNumberFormat="1" applyFont="1" applyFill="1" applyBorder="1" applyAlignment="1" applyProtection="1"/>
    <xf numFmtId="0" fontId="6" fillId="3" borderId="19" xfId="8" applyFont="1" applyFill="1" applyBorder="1" applyAlignment="1" applyProtection="1"/>
    <xf numFmtId="9" fontId="6" fillId="4" borderId="8" xfId="2" applyNumberFormat="1" applyFont="1" applyFill="1" applyBorder="1" applyAlignment="1" applyProtection="1"/>
    <xf numFmtId="9" fontId="1" fillId="10" borderId="10" xfId="10" applyFont="1" applyFill="1" applyBorder="1" applyProtection="1"/>
    <xf numFmtId="9" fontId="1" fillId="10" borderId="6" xfId="10" applyFont="1" applyFill="1" applyBorder="1" applyProtection="1"/>
    <xf numFmtId="9" fontId="1" fillId="10" borderId="9" xfId="10" applyFont="1" applyFill="1" applyBorder="1" applyProtection="1"/>
    <xf numFmtId="0" fontId="6" fillId="8" borderId="20" xfId="6" applyFont="1" applyFill="1" applyBorder="1" applyAlignment="1" applyProtection="1"/>
    <xf numFmtId="0" fontId="6" fillId="6" borderId="21" xfId="8" applyFont="1" applyFill="1" applyBorder="1" applyAlignment="1" applyProtection="1"/>
    <xf numFmtId="164" fontId="6" fillId="3" borderId="22" xfId="2" applyNumberFormat="1" applyFont="1" applyFill="1" applyBorder="1" applyAlignment="1" applyProtection="1">
      <alignment horizontal="right"/>
    </xf>
    <xf numFmtId="9" fontId="1" fillId="4" borderId="23" xfId="2" applyNumberFormat="1" applyFont="1" applyFill="1" applyBorder="1" applyAlignment="1" applyProtection="1">
      <alignment horizontal="right"/>
    </xf>
    <xf numFmtId="164" fontId="6" fillId="3" borderId="24" xfId="2" applyNumberFormat="1" applyFont="1" applyFill="1" applyBorder="1" applyAlignment="1" applyProtection="1">
      <alignment horizontal="right"/>
    </xf>
    <xf numFmtId="9" fontId="6" fillId="4" borderId="23" xfId="2" applyNumberFormat="1" applyFont="1" applyFill="1" applyBorder="1" applyAlignment="1" applyProtection="1">
      <alignment horizontal="right"/>
    </xf>
    <xf numFmtId="0" fontId="6" fillId="3" borderId="24" xfId="2" applyFont="1" applyFill="1" applyBorder="1" applyAlignment="1" applyProtection="1">
      <alignment horizontal="right"/>
    </xf>
    <xf numFmtId="9" fontId="6" fillId="4" borderId="25" xfId="2" applyNumberFormat="1" applyFont="1" applyFill="1" applyBorder="1" applyAlignment="1" applyProtection="1">
      <alignment horizontal="right"/>
    </xf>
    <xf numFmtId="9" fontId="1" fillId="10" borderId="26" xfId="10" applyFont="1" applyFill="1" applyBorder="1" applyProtection="1"/>
    <xf numFmtId="9" fontId="1" fillId="10" borderId="23" xfId="10" applyFont="1" applyFill="1" applyBorder="1" applyProtection="1"/>
    <xf numFmtId="9" fontId="1" fillId="10" borderId="25" xfId="10" applyFont="1" applyFill="1" applyBorder="1" applyProtection="1"/>
    <xf numFmtId="166" fontId="6" fillId="3" borderId="27" xfId="2" applyNumberFormat="1" applyFont="1" applyFill="1" applyBorder="1" applyAlignment="1" applyProtection="1"/>
    <xf numFmtId="166" fontId="6" fillId="8" borderId="16" xfId="2" applyNumberFormat="1" applyFont="1" applyFill="1" applyBorder="1" applyAlignment="1" applyProtection="1"/>
    <xf numFmtId="166" fontId="6" fillId="3" borderId="16" xfId="2" applyNumberFormat="1" applyFont="1" applyFill="1" applyBorder="1" applyAlignment="1" applyProtection="1"/>
    <xf numFmtId="167" fontId="6" fillId="8" borderId="16" xfId="2" applyNumberFormat="1" applyFont="1" applyFill="1" applyBorder="1" applyAlignment="1" applyProtection="1"/>
    <xf numFmtId="0" fontId="6" fillId="8" borderId="19" xfId="2" applyFont="1" applyFill="1" applyBorder="1" applyAlignment="1" applyProtection="1"/>
    <xf numFmtId="166" fontId="6" fillId="3" borderId="28" xfId="2" applyNumberFormat="1" applyFont="1" applyFill="1" applyBorder="1" applyAlignment="1" applyProtection="1"/>
    <xf numFmtId="166" fontId="6" fillId="8" borderId="7" xfId="2" applyNumberFormat="1" applyFont="1" applyFill="1" applyBorder="1" applyAlignment="1" applyProtection="1"/>
    <xf numFmtId="0" fontId="6" fillId="8" borderId="7" xfId="2" applyFont="1" applyFill="1" applyBorder="1" applyAlignment="1" applyProtection="1">
      <alignment horizontal="right"/>
    </xf>
    <xf numFmtId="9" fontId="6" fillId="9" borderId="6" xfId="2" applyNumberFormat="1" applyFont="1" applyFill="1" applyBorder="1" applyAlignment="1" applyProtection="1">
      <alignment horizontal="right"/>
    </xf>
    <xf numFmtId="166" fontId="6" fillId="3" borderId="7" xfId="2" applyNumberFormat="1" applyFont="1" applyFill="1" applyBorder="1" applyAlignment="1" applyProtection="1"/>
    <xf numFmtId="166" fontId="6" fillId="8" borderId="29" xfId="2" applyNumberFormat="1" applyFont="1" applyFill="1" applyBorder="1" applyAlignment="1" applyProtection="1"/>
    <xf numFmtId="0" fontId="6" fillId="8" borderId="29" xfId="2" applyFont="1" applyFill="1" applyBorder="1" applyAlignment="1" applyProtection="1">
      <alignment horizontal="right"/>
    </xf>
    <xf numFmtId="9" fontId="6" fillId="9" borderId="30" xfId="2" applyNumberFormat="1" applyFont="1" applyFill="1" applyBorder="1" applyAlignment="1" applyProtection="1">
      <alignment horizontal="right"/>
    </xf>
    <xf numFmtId="9" fontId="1" fillId="0" borderId="31" xfId="10" applyFont="1" applyBorder="1" applyProtection="1"/>
    <xf numFmtId="9" fontId="1" fillId="0" borderId="30" xfId="10" applyFont="1" applyBorder="1" applyProtection="1"/>
    <xf numFmtId="9" fontId="1" fillId="0" borderId="32" xfId="10" applyFont="1" applyBorder="1" applyProtection="1"/>
    <xf numFmtId="2" fontId="6" fillId="6" borderId="11" xfId="2" applyNumberFormat="1" applyFont="1" applyFill="1" applyBorder="1" applyAlignment="1" applyProtection="1"/>
    <xf numFmtId="2" fontId="6" fillId="7" borderId="11" xfId="2" applyNumberFormat="1" applyFont="1" applyFill="1" applyBorder="1" applyAlignment="1" applyProtection="1"/>
    <xf numFmtId="2" fontId="6" fillId="8" borderId="35" xfId="2" applyNumberFormat="1" applyFont="1" applyFill="1" applyBorder="1" applyAlignment="1" applyProtection="1"/>
    <xf numFmtId="2" fontId="6" fillId="3" borderId="35" xfId="2" applyNumberFormat="1" applyFont="1" applyFill="1" applyBorder="1" applyAlignment="1" applyProtection="1"/>
    <xf numFmtId="9" fontId="6" fillId="3" borderId="11" xfId="2" applyNumberFormat="1" applyFont="1" applyFill="1" applyBorder="1" applyAlignment="1" applyProtection="1"/>
    <xf numFmtId="0" fontId="15" fillId="0" borderId="0" xfId="0" applyFont="1"/>
    <xf numFmtId="165" fontId="16" fillId="4" borderId="38" xfId="2" applyNumberFormat="1" applyFont="1" applyFill="1" applyBorder="1" applyAlignment="1" applyProtection="1">
      <alignment horizontal="left"/>
    </xf>
    <xf numFmtId="0" fontId="16" fillId="9" borderId="39" xfId="2" applyFont="1" applyFill="1" applyBorder="1" applyAlignment="1" applyProtection="1">
      <alignment horizontal="left"/>
    </xf>
    <xf numFmtId="0" fontId="16" fillId="4" borderId="38" xfId="2" applyFont="1" applyFill="1" applyBorder="1" applyAlignment="1" applyProtection="1">
      <alignment horizontal="left"/>
    </xf>
    <xf numFmtId="0" fontId="16" fillId="0" borderId="35" xfId="2" applyFont="1" applyFill="1" applyBorder="1" applyAlignment="1" applyProtection="1">
      <alignment horizontal="left"/>
    </xf>
    <xf numFmtId="0" fontId="16" fillId="4" borderId="40" xfId="2" applyFont="1" applyFill="1" applyBorder="1" applyAlignment="1" applyProtection="1">
      <alignment horizontal="left"/>
    </xf>
    <xf numFmtId="0" fontId="16" fillId="4" borderId="41" xfId="2" applyFont="1" applyFill="1" applyBorder="1" applyAlignment="1" applyProtection="1">
      <alignment horizontal="left"/>
    </xf>
    <xf numFmtId="0" fontId="16" fillId="9" borderId="42" xfId="2" applyFont="1" applyFill="1" applyBorder="1" applyAlignment="1" applyProtection="1">
      <alignment horizontal="left"/>
    </xf>
    <xf numFmtId="0" fontId="16" fillId="4" borderId="42" xfId="2" applyFont="1" applyFill="1" applyBorder="1" applyAlignment="1" applyProtection="1">
      <alignment horizontal="left"/>
    </xf>
    <xf numFmtId="0" fontId="16" fillId="4" borderId="39" xfId="2" applyFont="1" applyFill="1" applyBorder="1" applyAlignment="1" applyProtection="1">
      <alignment horizontal="left"/>
    </xf>
    <xf numFmtId="0" fontId="16" fillId="9" borderId="43" xfId="2" applyFont="1" applyFill="1" applyBorder="1" applyAlignment="1" applyProtection="1">
      <alignment horizontal="left"/>
    </xf>
    <xf numFmtId="0" fontId="16" fillId="10" borderId="44" xfId="2" applyFont="1" applyFill="1" applyBorder="1" applyAlignment="1" applyProtection="1">
      <alignment vertical="center" wrapText="1"/>
    </xf>
    <xf numFmtId="1" fontId="17" fillId="11" borderId="44" xfId="2" applyNumberFormat="1" applyFont="1" applyFill="1" applyBorder="1" applyAlignment="1" applyProtection="1">
      <alignment horizontal="center" vertical="center"/>
      <protection locked="0"/>
    </xf>
    <xf numFmtId="0" fontId="8" fillId="7" borderId="1" xfId="2" applyFont="1" applyFill="1" applyBorder="1" applyAlignment="1" applyProtection="1">
      <alignment horizontal="left" vertical="center" wrapText="1"/>
    </xf>
    <xf numFmtId="2" fontId="3" fillId="4" borderId="45" xfId="2" applyNumberFormat="1" applyFont="1" applyFill="1" applyBorder="1" applyAlignment="1" applyProtection="1"/>
    <xf numFmtId="2" fontId="3" fillId="9" borderId="46" xfId="2" applyNumberFormat="1" applyFont="1" applyFill="1" applyBorder="1" applyAlignment="1" applyProtection="1"/>
    <xf numFmtId="0" fontId="16" fillId="7" borderId="11" xfId="2" applyFont="1" applyFill="1" applyBorder="1" applyAlignment="1" applyProtection="1">
      <alignment horizontal="left"/>
    </xf>
    <xf numFmtId="0" fontId="16" fillId="0" borderId="11" xfId="2" applyFont="1" applyBorder="1" applyAlignment="1" applyProtection="1">
      <alignment horizontal="left"/>
    </xf>
    <xf numFmtId="2" fontId="3" fillId="9" borderId="18" xfId="2" applyNumberFormat="1" applyFont="1" applyFill="1" applyBorder="1" applyAlignment="1" applyProtection="1"/>
    <xf numFmtId="2" fontId="3" fillId="4" borderId="18" xfId="2" applyNumberFormat="1" applyFont="1" applyFill="1" applyBorder="1" applyAlignment="1" applyProtection="1"/>
    <xf numFmtId="0" fontId="6" fillId="3" borderId="51" xfId="2" applyFont="1" applyFill="1" applyBorder="1" applyAlignment="1" applyProtection="1"/>
    <xf numFmtId="9" fontId="6" fillId="4" borderId="47" xfId="2" applyNumberFormat="1" applyFont="1" applyFill="1" applyBorder="1" applyAlignment="1" applyProtection="1"/>
    <xf numFmtId="9" fontId="6" fillId="4" borderId="52" xfId="2" applyNumberFormat="1" applyFont="1" applyFill="1" applyBorder="1" applyAlignment="1" applyProtection="1"/>
    <xf numFmtId="0" fontId="1" fillId="3" borderId="53" xfId="2" applyFont="1" applyFill="1" applyBorder="1" applyProtection="1"/>
    <xf numFmtId="9" fontId="1" fillId="10" borderId="54" xfId="2" applyNumberFormat="1" applyFont="1" applyFill="1" applyBorder="1" applyProtection="1"/>
    <xf numFmtId="0" fontId="1" fillId="3" borderId="55" xfId="2" applyFont="1" applyFill="1" applyBorder="1" applyProtection="1"/>
    <xf numFmtId="9" fontId="1" fillId="10" borderId="56" xfId="2" applyNumberFormat="1" applyFont="1" applyFill="1" applyBorder="1" applyProtection="1"/>
    <xf numFmtId="0" fontId="1" fillId="3" borderId="57" xfId="2" applyFont="1" applyFill="1" applyBorder="1" applyProtection="1"/>
    <xf numFmtId="9" fontId="1" fillId="10" borderId="54" xfId="10" applyFont="1" applyFill="1" applyBorder="1" applyProtection="1"/>
    <xf numFmtId="9" fontId="1" fillId="10" borderId="58" xfId="10" applyFont="1" applyFill="1" applyBorder="1" applyProtection="1"/>
    <xf numFmtId="9" fontId="1" fillId="10" borderId="56" xfId="10" applyFont="1" applyFill="1" applyBorder="1" applyProtection="1"/>
    <xf numFmtId="9" fontId="6" fillId="0" borderId="9" xfId="2" applyNumberFormat="1" applyFont="1" applyFill="1" applyBorder="1" applyAlignment="1" applyProtection="1"/>
    <xf numFmtId="9" fontId="1" fillId="0" borderId="10" xfId="2" applyNumberFormat="1" applyFont="1" applyFill="1" applyBorder="1" applyProtection="1"/>
    <xf numFmtId="9" fontId="1" fillId="0" borderId="9" xfId="2" applyNumberFormat="1" applyFont="1" applyFill="1" applyBorder="1" applyProtection="1"/>
    <xf numFmtId="0" fontId="1" fillId="0" borderId="10" xfId="2" applyFont="1" applyFill="1" applyBorder="1" applyProtection="1"/>
    <xf numFmtId="0" fontId="1" fillId="0" borderId="6" xfId="2" applyFont="1" applyFill="1" applyBorder="1" applyProtection="1"/>
    <xf numFmtId="0" fontId="1" fillId="0" borderId="9" xfId="2" applyFont="1" applyFill="1" applyBorder="1" applyProtection="1"/>
    <xf numFmtId="0" fontId="1" fillId="7" borderId="12" xfId="2" applyFont="1" applyFill="1" applyBorder="1" applyProtection="1"/>
    <xf numFmtId="9" fontId="1" fillId="7" borderId="10" xfId="2" applyNumberFormat="1" applyFont="1" applyFill="1" applyBorder="1" applyProtection="1"/>
    <xf numFmtId="0" fontId="1" fillId="7" borderId="11" xfId="2" applyFont="1" applyFill="1" applyBorder="1" applyProtection="1"/>
    <xf numFmtId="9" fontId="1" fillId="7" borderId="9" xfId="2" applyNumberFormat="1" applyFont="1" applyFill="1" applyBorder="1" applyProtection="1"/>
    <xf numFmtId="0" fontId="1" fillId="7" borderId="7" xfId="2" applyFont="1" applyFill="1" applyBorder="1" applyProtection="1"/>
    <xf numFmtId="9" fontId="1" fillId="7" borderId="10" xfId="10" applyFont="1" applyFill="1" applyBorder="1" applyProtection="1"/>
    <xf numFmtId="0" fontId="1" fillId="7" borderId="10" xfId="2" applyFont="1" applyFill="1" applyBorder="1" applyProtection="1"/>
    <xf numFmtId="0" fontId="1" fillId="7" borderId="6" xfId="2" applyFont="1" applyFill="1" applyBorder="1" applyProtection="1"/>
    <xf numFmtId="0" fontId="1" fillId="7" borderId="9" xfId="2" applyFont="1" applyFill="1" applyBorder="1" applyProtection="1"/>
    <xf numFmtId="9" fontId="6" fillId="4" borderId="9" xfId="2" applyNumberFormat="1" applyFont="1" applyFill="1" applyBorder="1" applyAlignment="1" applyProtection="1"/>
    <xf numFmtId="0" fontId="6" fillId="3" borderId="59" xfId="2" applyFont="1" applyFill="1" applyBorder="1" applyAlignment="1" applyProtection="1"/>
    <xf numFmtId="9" fontId="6" fillId="4" borderId="60" xfId="2" applyNumberFormat="1" applyFont="1" applyFill="1" applyBorder="1" applyAlignment="1" applyProtection="1"/>
    <xf numFmtId="0" fontId="1" fillId="3" borderId="12" xfId="2" applyFont="1" applyFill="1" applyBorder="1" applyProtection="1"/>
    <xf numFmtId="9" fontId="1" fillId="10" borderId="10" xfId="2" applyNumberFormat="1" applyFont="1" applyFill="1" applyBorder="1" applyProtection="1"/>
    <xf numFmtId="0" fontId="1" fillId="3" borderId="11" xfId="2" applyFont="1" applyFill="1" applyBorder="1" applyProtection="1"/>
    <xf numFmtId="9" fontId="1" fillId="10" borderId="9" xfId="2" applyNumberFormat="1" applyFont="1" applyFill="1" applyBorder="1" applyProtection="1"/>
    <xf numFmtId="0" fontId="1" fillId="3" borderId="7" xfId="2" applyFont="1" applyFill="1" applyBorder="1" applyProtection="1"/>
    <xf numFmtId="0" fontId="18" fillId="12" borderId="61" xfId="2" applyFont="1" applyFill="1" applyBorder="1" applyAlignment="1" applyProtection="1">
      <alignment horizontal="center" vertical="center" wrapText="1"/>
    </xf>
    <xf numFmtId="0" fontId="18" fillId="13" borderId="62" xfId="2" applyFont="1" applyFill="1" applyBorder="1" applyAlignment="1" applyProtection="1">
      <alignment horizontal="center" vertical="center" wrapText="1"/>
    </xf>
    <xf numFmtId="0" fontId="18" fillId="11" borderId="63" xfId="2" applyFont="1" applyFill="1" applyBorder="1" applyAlignment="1" applyProtection="1">
      <alignment horizontal="center" vertical="center" wrapText="1"/>
    </xf>
    <xf numFmtId="0" fontId="18" fillId="12" borderId="62" xfId="2" applyFont="1" applyFill="1" applyBorder="1" applyAlignment="1" applyProtection="1">
      <alignment horizontal="center" vertical="center" wrapText="1"/>
    </xf>
    <xf numFmtId="0" fontId="18" fillId="14" borderId="64" xfId="2" applyFont="1" applyFill="1" applyBorder="1" applyAlignment="1" applyProtection="1">
      <alignment horizontal="center" vertical="center" wrapText="1"/>
    </xf>
    <xf numFmtId="0" fontId="18" fillId="12" borderId="65" xfId="2" applyFont="1" applyFill="1" applyBorder="1" applyAlignment="1" applyProtection="1">
      <alignment horizontal="center" vertical="center" wrapText="1"/>
    </xf>
    <xf numFmtId="0" fontId="18" fillId="14" borderId="66" xfId="2" applyFont="1" applyFill="1" applyBorder="1" applyAlignment="1" applyProtection="1">
      <alignment horizontal="center" vertical="center" wrapText="1"/>
    </xf>
    <xf numFmtId="0" fontId="18" fillId="13" borderId="61" xfId="2" applyFont="1" applyFill="1" applyBorder="1" applyAlignment="1" applyProtection="1">
      <alignment horizontal="center" vertical="center" wrapText="1"/>
    </xf>
    <xf numFmtId="0" fontId="18" fillId="11" borderId="64" xfId="2" applyFont="1" applyFill="1" applyBorder="1" applyAlignment="1" applyProtection="1">
      <alignment horizontal="center" vertical="center" wrapText="1"/>
    </xf>
    <xf numFmtId="0" fontId="18" fillId="12" borderId="62" xfId="2" applyFont="1" applyFill="1" applyBorder="1" applyAlignment="1" applyProtection="1">
      <alignment horizontal="center" wrapText="1"/>
    </xf>
    <xf numFmtId="0" fontId="18" fillId="14" borderId="66" xfId="2" applyFont="1" applyFill="1" applyBorder="1" applyAlignment="1" applyProtection="1">
      <alignment horizontal="center" wrapText="1"/>
    </xf>
    <xf numFmtId="0" fontId="18" fillId="11" borderId="66" xfId="2" applyFont="1" applyFill="1" applyBorder="1" applyAlignment="1" applyProtection="1">
      <alignment horizontal="center" vertical="center" wrapText="1"/>
    </xf>
    <xf numFmtId="0" fontId="18" fillId="12" borderId="65" xfId="2" applyFont="1" applyFill="1" applyBorder="1" applyAlignment="1" applyProtection="1">
      <alignment horizontal="center" wrapText="1"/>
    </xf>
    <xf numFmtId="0" fontId="6" fillId="3" borderId="67" xfId="6" applyFont="1" applyFill="1" applyBorder="1" applyAlignment="1" applyProtection="1"/>
    <xf numFmtId="9" fontId="6" fillId="4" borderId="48" xfId="2" applyNumberFormat="1" applyFont="1" applyFill="1" applyBorder="1" applyAlignment="1" applyProtection="1"/>
    <xf numFmtId="0" fontId="6" fillId="3" borderId="68" xfId="8" applyFont="1" applyFill="1" applyBorder="1" applyAlignment="1" applyProtection="1"/>
    <xf numFmtId="1" fontId="1" fillId="3" borderId="53" xfId="2" applyNumberFormat="1" applyFont="1" applyFill="1" applyBorder="1" applyProtection="1"/>
    <xf numFmtId="1" fontId="1" fillId="3" borderId="55" xfId="2" applyNumberFormat="1" applyFont="1" applyFill="1" applyBorder="1" applyProtection="1"/>
    <xf numFmtId="0" fontId="1" fillId="3" borderId="14" xfId="2" applyFont="1" applyFill="1" applyBorder="1" applyProtection="1"/>
    <xf numFmtId="9" fontId="1" fillId="10" borderId="69" xfId="10" applyFont="1" applyFill="1" applyBorder="1" applyProtection="1"/>
    <xf numFmtId="0" fontId="1" fillId="3" borderId="70" xfId="2" applyFont="1" applyFill="1" applyBorder="1" applyProtection="1"/>
    <xf numFmtId="9" fontId="1" fillId="10" borderId="71" xfId="10" applyFont="1" applyFill="1" applyBorder="1" applyProtection="1"/>
    <xf numFmtId="0" fontId="1" fillId="3" borderId="72" xfId="2" applyFont="1" applyFill="1" applyBorder="1" applyProtection="1"/>
    <xf numFmtId="9" fontId="1" fillId="10" borderId="73" xfId="10" applyFont="1" applyFill="1" applyBorder="1" applyProtection="1"/>
    <xf numFmtId="0" fontId="6" fillId="6" borderId="17" xfId="6" applyFont="1" applyFill="1" applyBorder="1" applyAlignment="1" applyProtection="1"/>
    <xf numFmtId="9" fontId="6" fillId="9" borderId="8" xfId="2" applyNumberFormat="1" applyFont="1" applyFill="1" applyBorder="1" applyAlignment="1" applyProtection="1"/>
    <xf numFmtId="1" fontId="6" fillId="8" borderId="74" xfId="2" applyNumberFormat="1" applyFont="1" applyFill="1" applyBorder="1" applyAlignment="1" applyProtection="1"/>
    <xf numFmtId="9" fontId="6" fillId="9" borderId="75" xfId="2" applyNumberFormat="1" applyFont="1" applyFill="1" applyBorder="1" applyAlignment="1" applyProtection="1"/>
    <xf numFmtId="1" fontId="6" fillId="8" borderId="35" xfId="2" applyNumberFormat="1" applyFont="1" applyFill="1" applyBorder="1" applyAlignment="1" applyProtection="1"/>
    <xf numFmtId="1" fontId="1" fillId="3" borderId="12" xfId="2" applyNumberFormat="1" applyFont="1" applyFill="1" applyBorder="1" applyProtection="1"/>
    <xf numFmtId="1" fontId="1" fillId="3" borderId="11" xfId="2" applyNumberFormat="1" applyFont="1" applyFill="1" applyBorder="1" applyProtection="1"/>
    <xf numFmtId="164" fontId="1" fillId="3" borderId="12" xfId="2" applyNumberFormat="1" applyFont="1" applyFill="1" applyBorder="1" applyProtection="1"/>
    <xf numFmtId="164" fontId="1" fillId="3" borderId="11" xfId="2" applyNumberFormat="1" applyFont="1" applyFill="1" applyBorder="1" applyProtection="1"/>
    <xf numFmtId="164" fontId="1" fillId="6" borderId="12" xfId="2" applyNumberFormat="1" applyFont="1" applyFill="1" applyBorder="1" applyProtection="1"/>
    <xf numFmtId="164" fontId="1" fillId="6" borderId="11" xfId="2" applyNumberFormat="1" applyFont="1" applyFill="1" applyBorder="1" applyProtection="1"/>
    <xf numFmtId="164" fontId="1" fillId="3" borderId="76" xfId="2" applyNumberFormat="1" applyFont="1" applyFill="1" applyBorder="1" applyAlignment="1" applyProtection="1">
      <alignment horizontal="right"/>
    </xf>
    <xf numFmtId="0" fontId="1" fillId="10" borderId="26" xfId="2" applyFont="1" applyFill="1" applyBorder="1" applyProtection="1"/>
    <xf numFmtId="164" fontId="1" fillId="3" borderId="22" xfId="2" applyNumberFormat="1" applyFont="1" applyFill="1" applyBorder="1" applyAlignment="1" applyProtection="1">
      <alignment horizontal="right"/>
    </xf>
    <xf numFmtId="0" fontId="1" fillId="10" borderId="25" xfId="2" applyFont="1" applyFill="1" applyBorder="1" applyProtection="1"/>
    <xf numFmtId="0" fontId="1" fillId="3" borderId="24" xfId="2" applyFont="1" applyFill="1" applyBorder="1" applyAlignment="1" applyProtection="1">
      <alignment horizontal="right"/>
    </xf>
    <xf numFmtId="0" fontId="1" fillId="3" borderId="22" xfId="2" applyFont="1" applyFill="1" applyBorder="1" applyAlignment="1" applyProtection="1">
      <alignment horizontal="right"/>
    </xf>
    <xf numFmtId="0" fontId="1" fillId="3" borderId="76" xfId="2" applyFont="1" applyFill="1" applyBorder="1" applyAlignment="1" applyProtection="1">
      <alignment horizontal="right"/>
    </xf>
    <xf numFmtId="0" fontId="18" fillId="12" borderId="62" xfId="2" applyFont="1" applyFill="1" applyBorder="1" applyAlignment="1" applyProtection="1">
      <alignment horizontal="center" vertical="justify"/>
    </xf>
    <xf numFmtId="9" fontId="18" fillId="14" borderId="66" xfId="10" applyFont="1" applyFill="1" applyBorder="1" applyAlignment="1" applyProtection="1">
      <alignment horizontal="center" vertical="justify"/>
    </xf>
    <xf numFmtId="0" fontId="6" fillId="3" borderId="68" xfId="2" applyFont="1" applyFill="1" applyBorder="1" applyAlignment="1" applyProtection="1"/>
    <xf numFmtId="9" fontId="6" fillId="4" borderId="46" xfId="2" applyNumberFormat="1" applyFont="1" applyFill="1" applyBorder="1" applyAlignment="1" applyProtection="1"/>
    <xf numFmtId="9" fontId="6" fillId="4" borderId="77" xfId="2" applyNumberFormat="1" applyFont="1" applyFill="1" applyBorder="1" applyAlignment="1" applyProtection="1"/>
    <xf numFmtId="1" fontId="1" fillId="3" borderId="72" xfId="2" applyNumberFormat="1" applyFont="1" applyFill="1" applyBorder="1" applyProtection="1"/>
    <xf numFmtId="9" fontId="1" fillId="10" borderId="69" xfId="2" applyNumberFormat="1" applyFont="1" applyFill="1" applyBorder="1" applyProtection="1"/>
    <xf numFmtId="1" fontId="1" fillId="3" borderId="70" xfId="2" applyNumberFormat="1" applyFont="1" applyFill="1" applyBorder="1" applyProtection="1"/>
    <xf numFmtId="9" fontId="1" fillId="10" borderId="73" xfId="2" applyNumberFormat="1" applyFont="1" applyFill="1" applyBorder="1" applyProtection="1"/>
    <xf numFmtId="9" fontId="1" fillId="0" borderId="69" xfId="2" applyNumberFormat="1" applyFont="1" applyBorder="1" applyProtection="1"/>
    <xf numFmtId="9" fontId="1" fillId="0" borderId="73" xfId="2" applyNumberFormat="1" applyFont="1" applyBorder="1" applyProtection="1"/>
    <xf numFmtId="0" fontId="6" fillId="3" borderId="19" xfId="2" applyFont="1" applyFill="1" applyBorder="1" applyAlignment="1" applyProtection="1"/>
    <xf numFmtId="0" fontId="6" fillId="3" borderId="21" xfId="2" applyFont="1" applyFill="1" applyBorder="1" applyAlignment="1" applyProtection="1"/>
    <xf numFmtId="1" fontId="1" fillId="6" borderId="78" xfId="2" applyNumberFormat="1" applyFont="1" applyFill="1" applyBorder="1" applyProtection="1"/>
    <xf numFmtId="9" fontId="1" fillId="0" borderId="79" xfId="2" applyNumberFormat="1" applyFont="1" applyBorder="1" applyProtection="1"/>
    <xf numFmtId="1" fontId="1" fillId="6" borderId="37" xfId="2" applyNumberFormat="1" applyFont="1" applyFill="1" applyBorder="1" applyProtection="1"/>
    <xf numFmtId="9" fontId="1" fillId="0" borderId="80" xfId="2" applyNumberFormat="1" applyFont="1" applyBorder="1" applyProtection="1"/>
    <xf numFmtId="0" fontId="1" fillId="6" borderId="29" xfId="2" applyFont="1" applyFill="1" applyBorder="1" applyProtection="1"/>
    <xf numFmtId="0" fontId="1" fillId="6" borderId="37" xfId="2" applyFont="1" applyFill="1" applyBorder="1" applyProtection="1"/>
    <xf numFmtId="0" fontId="1" fillId="6" borderId="78" xfId="2" applyFont="1" applyFill="1" applyBorder="1" applyProtection="1"/>
    <xf numFmtId="0" fontId="0" fillId="15" borderId="0" xfId="0" applyFill="1"/>
    <xf numFmtId="0" fontId="0" fillId="15" borderId="0" xfId="0" applyFill="1" applyAlignment="1">
      <alignment horizontal="center"/>
    </xf>
    <xf numFmtId="0" fontId="0" fillId="16" borderId="0" xfId="0" applyFill="1"/>
    <xf numFmtId="0" fontId="19" fillId="17" borderId="0" xfId="0" applyFont="1" applyFill="1" applyAlignment="1">
      <alignment vertical="center" wrapText="1"/>
    </xf>
    <xf numFmtId="2" fontId="20" fillId="17" borderId="0" xfId="0" applyNumberFormat="1" applyFont="1" applyFill="1"/>
    <xf numFmtId="0" fontId="20" fillId="17" borderId="0" xfId="0" applyFont="1" applyFill="1"/>
    <xf numFmtId="0" fontId="0" fillId="18" borderId="0" xfId="0" applyFill="1"/>
    <xf numFmtId="0" fontId="20" fillId="17" borderId="92" xfId="0" applyFont="1" applyFill="1" applyBorder="1"/>
    <xf numFmtId="0" fontId="20" fillId="17" borderId="93" xfId="0" applyFont="1" applyFill="1" applyBorder="1"/>
    <xf numFmtId="0" fontId="20" fillId="17" borderId="94" xfId="0" applyFont="1" applyFill="1" applyBorder="1"/>
    <xf numFmtId="0" fontId="20" fillId="17" borderId="95" xfId="0" applyFont="1" applyFill="1" applyBorder="1"/>
    <xf numFmtId="0" fontId="20" fillId="19" borderId="93" xfId="0" applyFont="1" applyFill="1" applyBorder="1"/>
    <xf numFmtId="0" fontId="20" fillId="19" borderId="94" xfId="0" applyFont="1" applyFill="1" applyBorder="1"/>
    <xf numFmtId="0" fontId="20" fillId="19" borderId="92" xfId="0" applyFont="1" applyFill="1" applyBorder="1"/>
    <xf numFmtId="1" fontId="20" fillId="20" borderId="96" xfId="0" applyNumberFormat="1" applyFont="1" applyFill="1" applyBorder="1"/>
    <xf numFmtId="1" fontId="20" fillId="20" borderId="97" xfId="0" applyNumberFormat="1" applyFont="1" applyFill="1" applyBorder="1"/>
    <xf numFmtId="0" fontId="19" fillId="19" borderId="0" xfId="0" applyFont="1" applyFill="1" applyAlignment="1">
      <alignment vertical="center" wrapText="1"/>
    </xf>
    <xf numFmtId="0" fontId="20" fillId="19" borderId="0" xfId="0" applyFont="1" applyFill="1"/>
    <xf numFmtId="0" fontId="19" fillId="21" borderId="0" xfId="0" applyFont="1" applyFill="1" applyAlignment="1">
      <alignment vertical="center" wrapText="1"/>
    </xf>
    <xf numFmtId="0" fontId="20" fillId="21" borderId="0" xfId="0" applyFont="1" applyFill="1"/>
    <xf numFmtId="164" fontId="20" fillId="17" borderId="92" xfId="0" applyNumberFormat="1" applyFont="1" applyFill="1" applyBorder="1" applyAlignment="1"/>
    <xf numFmtId="164" fontId="20" fillId="17" borderId="92" xfId="0" applyNumberFormat="1" applyFont="1" applyFill="1" applyBorder="1"/>
    <xf numFmtId="1" fontId="20" fillId="17" borderId="92" xfId="0" applyNumberFormat="1" applyFont="1" applyFill="1" applyBorder="1"/>
    <xf numFmtId="1" fontId="20" fillId="22" borderId="98" xfId="0" applyNumberFormat="1" applyFont="1" applyFill="1" applyBorder="1"/>
    <xf numFmtId="1" fontId="20" fillId="17" borderId="93" xfId="0" applyNumberFormat="1" applyFont="1" applyFill="1" applyBorder="1"/>
    <xf numFmtId="1" fontId="20" fillId="19" borderId="93" xfId="0" applyNumberFormat="1" applyFont="1" applyFill="1" applyBorder="1"/>
    <xf numFmtId="164" fontId="20" fillId="22" borderId="99" xfId="0" applyNumberFormat="1" applyFont="1" applyFill="1" applyBorder="1"/>
    <xf numFmtId="164" fontId="20" fillId="19" borderId="92" xfId="0" applyNumberFormat="1" applyFont="1" applyFill="1" applyBorder="1"/>
    <xf numFmtId="2" fontId="20" fillId="17" borderId="93" xfId="0" applyNumberFormat="1" applyFont="1" applyFill="1" applyBorder="1"/>
    <xf numFmtId="1" fontId="20" fillId="19" borderId="95" xfId="0" applyNumberFormat="1" applyFont="1" applyFill="1" applyBorder="1"/>
    <xf numFmtId="0" fontId="20" fillId="17" borderId="94" xfId="0" applyFont="1" applyFill="1" applyBorder="1" applyAlignment="1">
      <alignment wrapText="1"/>
    </xf>
    <xf numFmtId="0" fontId="20" fillId="19" borderId="94" xfId="0" applyFont="1" applyFill="1" applyBorder="1" applyAlignment="1">
      <alignment wrapText="1"/>
    </xf>
    <xf numFmtId="0" fontId="21" fillId="16" borderId="0" xfId="0" applyFont="1" applyFill="1" applyAlignment="1">
      <alignment horizontal="center" vertical="center" wrapText="1"/>
    </xf>
    <xf numFmtId="0" fontId="20" fillId="21" borderId="93" xfId="0" applyFont="1" applyFill="1" applyBorder="1"/>
    <xf numFmtId="0" fontId="20" fillId="21" borderId="92" xfId="0" applyFont="1" applyFill="1" applyBorder="1"/>
    <xf numFmtId="1" fontId="20" fillId="21" borderId="95" xfId="0" applyNumberFormat="1" applyFont="1" applyFill="1" applyBorder="1"/>
    <xf numFmtId="0" fontId="20" fillId="21" borderId="94" xfId="0" applyFont="1" applyFill="1" applyBorder="1"/>
    <xf numFmtId="164" fontId="20" fillId="21" borderId="92" xfId="0" applyNumberFormat="1" applyFont="1" applyFill="1" applyBorder="1"/>
    <xf numFmtId="1" fontId="20" fillId="21" borderId="93" xfId="0" applyNumberFormat="1" applyFont="1" applyFill="1" applyBorder="1"/>
    <xf numFmtId="2" fontId="20" fillId="21" borderId="93" xfId="0" applyNumberFormat="1" applyFont="1" applyFill="1" applyBorder="1"/>
    <xf numFmtId="0" fontId="20" fillId="21" borderId="94" xfId="0" applyFont="1" applyFill="1" applyBorder="1" applyAlignment="1">
      <alignment wrapText="1"/>
    </xf>
    <xf numFmtId="0" fontId="22" fillId="19" borderId="0" xfId="0" applyFont="1" applyFill="1"/>
    <xf numFmtId="164" fontId="20" fillId="19" borderId="93" xfId="0" applyNumberFormat="1" applyFont="1" applyFill="1" applyBorder="1"/>
    <xf numFmtId="1" fontId="20" fillId="19" borderId="92" xfId="0" applyNumberFormat="1" applyFont="1" applyFill="1" applyBorder="1"/>
    <xf numFmtId="164" fontId="20" fillId="19" borderId="95" xfId="0" applyNumberFormat="1" applyFont="1" applyFill="1" applyBorder="1"/>
    <xf numFmtId="0" fontId="23" fillId="16" borderId="0" xfId="0" applyFont="1" applyFill="1" applyAlignment="1">
      <alignment vertical="center" wrapText="1"/>
    </xf>
    <xf numFmtId="0" fontId="24" fillId="16" borderId="0" xfId="0" applyFont="1" applyFill="1" applyAlignment="1">
      <alignment vertical="center"/>
    </xf>
    <xf numFmtId="0" fontId="24" fillId="0" borderId="0" xfId="0" applyFont="1" applyFill="1" applyAlignment="1">
      <alignment vertical="center"/>
    </xf>
    <xf numFmtId="0" fontId="0" fillId="0" borderId="0" xfId="0" applyFill="1"/>
    <xf numFmtId="0" fontId="21" fillId="0" borderId="0" xfId="0" applyFont="1" applyFill="1" applyAlignment="1">
      <alignment horizontal="center" vertical="center" wrapText="1"/>
    </xf>
    <xf numFmtId="0" fontId="25" fillId="0" borderId="0" xfId="0" applyFont="1" applyFill="1" applyBorder="1" applyAlignment="1">
      <alignment horizontal="left" vertical="center" wrapText="1"/>
    </xf>
    <xf numFmtId="0" fontId="0" fillId="0" borderId="0" xfId="0" applyFill="1" applyBorder="1"/>
    <xf numFmtId="0" fontId="25" fillId="0" borderId="0" xfId="0" applyFont="1" applyFill="1" applyBorder="1" applyAlignment="1">
      <alignment vertical="center" wrapText="1"/>
    </xf>
    <xf numFmtId="0" fontId="0" fillId="15" borderId="0" xfId="0" applyFill="1" applyAlignment="1">
      <alignment horizontal="center"/>
    </xf>
    <xf numFmtId="0" fontId="1" fillId="16" borderId="0" xfId="4" applyFill="1"/>
    <xf numFmtId="0" fontId="1" fillId="16" borderId="0" xfId="2" applyFill="1" applyBorder="1" applyAlignment="1" applyProtection="1"/>
    <xf numFmtId="0" fontId="1" fillId="16" borderId="0" xfId="2" applyFill="1" applyBorder="1" applyProtection="1"/>
    <xf numFmtId="0" fontId="0" fillId="16" borderId="0" xfId="0" applyFill="1" applyBorder="1"/>
    <xf numFmtId="0" fontId="26" fillId="0" borderId="0" xfId="0" applyFont="1" applyFill="1" applyBorder="1" applyAlignment="1">
      <alignment vertical="center"/>
    </xf>
    <xf numFmtId="0" fontId="27" fillId="16" borderId="81" xfId="0" applyFont="1" applyFill="1" applyBorder="1" applyAlignment="1">
      <alignment horizontal="center" vertical="center"/>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wrapText="1"/>
    </xf>
    <xf numFmtId="0" fontId="27" fillId="0" borderId="0" xfId="0" applyFont="1" applyFill="1" applyBorder="1" applyAlignment="1">
      <alignment horizontal="left" vertical="center" wrapText="1"/>
    </xf>
    <xf numFmtId="0" fontId="26" fillId="0" borderId="0" xfId="0" applyFont="1" applyFill="1" applyBorder="1" applyAlignment="1">
      <alignment horizontal="center" vertical="center"/>
    </xf>
    <xf numFmtId="0" fontId="29" fillId="16" borderId="0" xfId="0" applyFont="1" applyFill="1" applyBorder="1"/>
    <xf numFmtId="0" fontId="27" fillId="16" borderId="0" xfId="0" applyFont="1" applyFill="1" applyBorder="1"/>
    <xf numFmtId="0" fontId="27" fillId="16" borderId="81" xfId="0" applyFont="1" applyFill="1" applyBorder="1" applyAlignment="1">
      <alignment horizontal="right" vertical="center"/>
    </xf>
    <xf numFmtId="0" fontId="30" fillId="16" borderId="81" xfId="0" applyFont="1" applyFill="1" applyBorder="1" applyAlignment="1">
      <alignment horizontal="center" vertical="center" wrapText="1"/>
    </xf>
    <xf numFmtId="0" fontId="18" fillId="23" borderId="61" xfId="2" applyFont="1" applyFill="1" applyBorder="1" applyAlignment="1" applyProtection="1">
      <alignment horizontal="center" vertical="center" wrapText="1"/>
    </xf>
    <xf numFmtId="0" fontId="18" fillId="24" borderId="63" xfId="2" applyFont="1" applyFill="1" applyBorder="1" applyAlignment="1" applyProtection="1">
      <alignment horizontal="center" vertical="center" wrapText="1"/>
    </xf>
    <xf numFmtId="0" fontId="18" fillId="23" borderId="62" xfId="2" applyFont="1" applyFill="1" applyBorder="1" applyAlignment="1" applyProtection="1">
      <alignment horizontal="center" vertical="center" wrapText="1"/>
    </xf>
    <xf numFmtId="0" fontId="31" fillId="4" borderId="42" xfId="2" applyFont="1" applyFill="1" applyBorder="1" applyAlignment="1" applyProtection="1">
      <alignment horizontal="left"/>
    </xf>
    <xf numFmtId="0" fontId="13" fillId="7" borderId="82" xfId="2" applyFont="1" applyFill="1" applyBorder="1" applyAlignment="1" applyProtection="1">
      <alignment horizontal="center" vertical="center" wrapText="1"/>
    </xf>
    <xf numFmtId="0" fontId="27" fillId="16" borderId="81" xfId="0" applyFont="1" applyFill="1" applyBorder="1" applyAlignment="1">
      <alignment horizontal="center" vertical="center" wrapText="1"/>
    </xf>
    <xf numFmtId="164" fontId="3" fillId="4" borderId="47" xfId="2" applyNumberFormat="1" applyFont="1" applyFill="1" applyBorder="1" applyAlignment="1" applyProtection="1"/>
    <xf numFmtId="164" fontId="3" fillId="0" borderId="9" xfId="2" applyNumberFormat="1" applyFont="1" applyFill="1" applyBorder="1" applyAlignment="1" applyProtection="1"/>
    <xf numFmtId="164" fontId="5" fillId="3" borderId="11" xfId="2" applyNumberFormat="1" applyFont="1" applyFill="1" applyBorder="1" applyAlignment="1" applyProtection="1"/>
    <xf numFmtId="1" fontId="3" fillId="4" borderId="48" xfId="2" applyNumberFormat="1" applyFont="1" applyFill="1" applyBorder="1" applyAlignment="1" applyProtection="1"/>
    <xf numFmtId="164" fontId="3" fillId="0" borderId="48" xfId="2" applyNumberFormat="1" applyFont="1" applyFill="1" applyBorder="1" applyAlignment="1" applyProtection="1"/>
    <xf numFmtId="1" fontId="3" fillId="9" borderId="18" xfId="2" applyNumberFormat="1" applyFont="1" applyFill="1" applyBorder="1" applyAlignment="1" applyProtection="1"/>
    <xf numFmtId="164" fontId="3" fillId="4" borderId="18" xfId="2" applyNumberFormat="1" applyFont="1" applyFill="1" applyBorder="1" applyAlignment="1" applyProtection="1"/>
    <xf numFmtId="1" fontId="3" fillId="4" borderId="18" xfId="2" applyNumberFormat="1" applyFont="1" applyFill="1" applyBorder="1" applyAlignment="1" applyProtection="1"/>
    <xf numFmtId="1" fontId="3" fillId="4" borderId="49" xfId="2" applyNumberFormat="1" applyFont="1" applyFill="1" applyBorder="1" applyAlignment="1" applyProtection="1"/>
    <xf numFmtId="1" fontId="3" fillId="4" borderId="46" xfId="2" applyNumberFormat="1" applyFont="1" applyFill="1" applyBorder="1" applyAlignment="1" applyProtection="1"/>
    <xf numFmtId="1" fontId="3" fillId="9" borderId="50" xfId="2" applyNumberFormat="1" applyFont="1" applyFill="1" applyBorder="1" applyAlignment="1" applyProtection="1"/>
    <xf numFmtId="164" fontId="6" fillId="3" borderId="33" xfId="2" applyNumberFormat="1" applyFont="1" applyFill="1" applyBorder="1" applyAlignment="1" applyProtection="1"/>
    <xf numFmtId="1" fontId="6" fillId="6" borderId="11" xfId="2" applyNumberFormat="1" applyFont="1" applyFill="1" applyBorder="1" applyAlignment="1" applyProtection="1"/>
    <xf numFmtId="1" fontId="6" fillId="3" borderId="11" xfId="2" applyNumberFormat="1" applyFont="1" applyFill="1" applyBorder="1" applyAlignment="1" applyProtection="1"/>
    <xf numFmtId="1" fontId="6" fillId="3" borderId="34" xfId="2" applyNumberFormat="1" applyFont="1" applyFill="1" applyBorder="1" applyAlignment="1" applyProtection="1"/>
    <xf numFmtId="164" fontId="6" fillId="8" borderId="35" xfId="2" applyNumberFormat="1" applyFont="1" applyFill="1" applyBorder="1" applyAlignment="1" applyProtection="1"/>
    <xf numFmtId="164" fontId="6" fillId="3" borderId="35" xfId="2" applyNumberFormat="1" applyFont="1" applyFill="1" applyBorder="1" applyAlignment="1" applyProtection="1"/>
    <xf numFmtId="1" fontId="6" fillId="3" borderId="35" xfId="2" applyNumberFormat="1" applyFont="1" applyFill="1" applyBorder="1" applyAlignment="1" applyProtection="1"/>
    <xf numFmtId="1" fontId="6" fillId="8" borderId="36" xfId="2" applyNumberFormat="1" applyFont="1" applyFill="1" applyBorder="1" applyAlignment="1" applyProtection="1"/>
    <xf numFmtId="168" fontId="6" fillId="8" borderId="35" xfId="2" applyNumberFormat="1" applyFont="1" applyFill="1" applyBorder="1" applyAlignment="1" applyProtection="1"/>
    <xf numFmtId="164" fontId="6" fillId="3" borderId="36" xfId="2" applyNumberFormat="1" applyFont="1" applyFill="1" applyBorder="1" applyAlignment="1" applyProtection="1"/>
    <xf numFmtId="1" fontId="6" fillId="8" borderId="11" xfId="2" applyNumberFormat="1" applyFont="1" applyFill="1" applyBorder="1" applyAlignment="1" applyProtection="1"/>
    <xf numFmtId="1" fontId="6" fillId="8" borderId="37" xfId="2" applyNumberFormat="1" applyFont="1" applyFill="1" applyBorder="1" applyAlignment="1" applyProtection="1"/>
    <xf numFmtId="0" fontId="18" fillId="25" borderId="83" xfId="2" applyFont="1" applyFill="1" applyBorder="1" applyAlignment="1" applyProtection="1">
      <alignment horizontal="center" vertical="center" wrapText="1"/>
    </xf>
    <xf numFmtId="0" fontId="18" fillId="25" borderId="84" xfId="2" applyFont="1" applyFill="1" applyBorder="1" applyAlignment="1" applyProtection="1">
      <alignment horizontal="center" vertical="center" wrapText="1"/>
    </xf>
    <xf numFmtId="0" fontId="18" fillId="12" borderId="89" xfId="2" applyFont="1" applyFill="1" applyBorder="1" applyAlignment="1" applyProtection="1">
      <alignment horizontal="center" vertical="center" wrapText="1"/>
    </xf>
    <xf numFmtId="0" fontId="18" fillId="12" borderId="90" xfId="2" applyFont="1" applyFill="1" applyBorder="1" applyAlignment="1" applyProtection="1">
      <alignment horizontal="center" vertical="center" wrapText="1"/>
    </xf>
    <xf numFmtId="0" fontId="0" fillId="15" borderId="0" xfId="0" applyFill="1" applyAlignment="1">
      <alignment horizontal="center"/>
    </xf>
    <xf numFmtId="0" fontId="18" fillId="25" borderId="89" xfId="2" applyFont="1" applyFill="1" applyBorder="1" applyAlignment="1" applyProtection="1">
      <alignment horizontal="center" vertical="center" wrapText="1"/>
    </xf>
    <xf numFmtId="0" fontId="18" fillId="25" borderId="90" xfId="2" applyFont="1" applyFill="1" applyBorder="1" applyAlignment="1" applyProtection="1">
      <alignment horizontal="center" vertical="center" wrapText="1"/>
    </xf>
    <xf numFmtId="0" fontId="18" fillId="26" borderId="85" xfId="2" applyFont="1" applyFill="1" applyBorder="1" applyAlignment="1" applyProtection="1">
      <alignment horizontal="center" vertical="center" wrapText="1"/>
    </xf>
    <xf numFmtId="0" fontId="18" fillId="26" borderId="86" xfId="2" applyFont="1" applyFill="1" applyBorder="1" applyAlignment="1" applyProtection="1">
      <alignment horizontal="center" vertical="center" wrapText="1"/>
    </xf>
    <xf numFmtId="0" fontId="18" fillId="11" borderId="87" xfId="2" applyFont="1" applyFill="1" applyBorder="1" applyAlignment="1" applyProtection="1">
      <alignment horizontal="center" vertical="center" wrapText="1"/>
    </xf>
    <xf numFmtId="0" fontId="18" fillId="11" borderId="88" xfId="2" applyFont="1" applyFill="1" applyBorder="1" applyAlignment="1" applyProtection="1">
      <alignment horizontal="center" vertical="center" wrapText="1"/>
    </xf>
    <xf numFmtId="0" fontId="32" fillId="0" borderId="82" xfId="2" applyFont="1" applyBorder="1" applyAlignment="1" applyProtection="1">
      <alignment horizontal="center" vertical="center" wrapText="1"/>
    </xf>
    <xf numFmtId="0" fontId="32" fillId="0" borderId="1" xfId="2" applyFont="1" applyBorder="1" applyAlignment="1" applyProtection="1">
      <alignment horizontal="center" vertical="center" wrapText="1"/>
    </xf>
    <xf numFmtId="0" fontId="18" fillId="24" borderId="87" xfId="2" applyFont="1" applyFill="1" applyBorder="1" applyAlignment="1" applyProtection="1">
      <alignment horizontal="center" vertical="center" wrapText="1"/>
    </xf>
    <xf numFmtId="0" fontId="18" fillId="24" borderId="88" xfId="2" applyFont="1" applyFill="1" applyBorder="1" applyAlignment="1" applyProtection="1">
      <alignment horizontal="center" vertical="center" wrapText="1"/>
    </xf>
    <xf numFmtId="0" fontId="18" fillId="14" borderId="87" xfId="2" applyFont="1" applyFill="1" applyBorder="1" applyAlignment="1" applyProtection="1">
      <alignment horizontal="center" vertical="center" wrapText="1"/>
    </xf>
    <xf numFmtId="0" fontId="18" fillId="14" borderId="88" xfId="2" applyFont="1" applyFill="1" applyBorder="1" applyAlignment="1" applyProtection="1">
      <alignment horizontal="center" vertical="center" wrapText="1"/>
    </xf>
    <xf numFmtId="0" fontId="18" fillId="23" borderId="89" xfId="2" applyFont="1" applyFill="1" applyBorder="1" applyAlignment="1" applyProtection="1">
      <alignment horizontal="center" vertical="center" wrapText="1"/>
    </xf>
    <xf numFmtId="0" fontId="18" fillId="23" borderId="90" xfId="2" applyFont="1" applyFill="1" applyBorder="1" applyAlignment="1" applyProtection="1">
      <alignment horizontal="center" vertical="center" wrapText="1"/>
    </xf>
    <xf numFmtId="0" fontId="33" fillId="0" borderId="82" xfId="2" applyFont="1" applyFill="1" applyBorder="1" applyAlignment="1" applyProtection="1">
      <alignment horizontal="left" vertical="center"/>
    </xf>
    <xf numFmtId="0" fontId="34" fillId="0" borderId="1" xfId="2" applyFont="1" applyFill="1" applyBorder="1" applyAlignment="1" applyProtection="1">
      <alignment vertical="center"/>
    </xf>
    <xf numFmtId="0" fontId="18" fillId="13" borderId="83" xfId="2" applyFont="1" applyFill="1" applyBorder="1" applyAlignment="1" applyProtection="1">
      <alignment horizontal="center" vertical="center" wrapText="1"/>
    </xf>
    <xf numFmtId="0" fontId="18" fillId="13" borderId="84" xfId="2" applyFont="1" applyFill="1" applyBorder="1" applyAlignment="1" applyProtection="1">
      <alignment horizontal="center" vertical="center" wrapText="1"/>
    </xf>
    <xf numFmtId="0" fontId="18" fillId="14" borderId="85" xfId="2" applyFont="1" applyFill="1" applyBorder="1" applyAlignment="1" applyProtection="1">
      <alignment horizontal="center" vertical="center" wrapText="1"/>
    </xf>
    <xf numFmtId="0" fontId="18" fillId="14" borderId="86" xfId="2" applyFont="1" applyFill="1" applyBorder="1" applyAlignment="1" applyProtection="1">
      <alignment horizontal="center" vertical="center" wrapText="1"/>
    </xf>
    <xf numFmtId="0" fontId="18" fillId="11" borderId="85" xfId="2" applyFont="1" applyFill="1" applyBorder="1" applyAlignment="1" applyProtection="1">
      <alignment horizontal="center" vertical="center" wrapText="1"/>
    </xf>
    <xf numFmtId="0" fontId="18" fillId="11" borderId="86" xfId="2" applyFont="1" applyFill="1" applyBorder="1" applyAlignment="1" applyProtection="1">
      <alignment horizontal="center" vertical="center" wrapText="1"/>
    </xf>
    <xf numFmtId="0" fontId="18" fillId="12" borderId="83" xfId="2" applyFont="1" applyFill="1" applyBorder="1" applyAlignment="1" applyProtection="1">
      <alignment horizontal="center" vertical="center" wrapText="1"/>
    </xf>
    <xf numFmtId="0" fontId="18" fillId="12" borderId="84" xfId="2" applyFont="1" applyFill="1" applyBorder="1" applyAlignment="1" applyProtection="1">
      <alignment horizontal="center" vertical="center" wrapText="1"/>
    </xf>
    <xf numFmtId="0" fontId="11" fillId="16" borderId="0" xfId="0" applyFont="1" applyFill="1" applyAlignment="1">
      <alignment horizontal="center" vertical="center" wrapText="1"/>
    </xf>
    <xf numFmtId="0" fontId="14" fillId="16" borderId="91" xfId="2" applyFont="1" applyFill="1" applyBorder="1" applyAlignment="1" applyProtection="1">
      <alignment horizontal="center" wrapText="1"/>
    </xf>
    <xf numFmtId="0" fontId="10" fillId="16" borderId="91" xfId="2" applyFont="1" applyFill="1" applyBorder="1" applyAlignment="1" applyProtection="1">
      <alignment horizontal="center" wrapText="1"/>
    </xf>
    <xf numFmtId="0" fontId="18" fillId="13" borderId="89" xfId="2" applyFont="1" applyFill="1" applyBorder="1" applyAlignment="1" applyProtection="1">
      <alignment horizontal="center" vertical="center" wrapText="1"/>
    </xf>
    <xf numFmtId="0" fontId="18" fillId="13" borderId="90" xfId="2" applyFont="1" applyFill="1" applyBorder="1" applyAlignment="1" applyProtection="1">
      <alignment horizontal="center" vertical="center" wrapText="1"/>
    </xf>
    <xf numFmtId="0" fontId="18" fillId="23" borderId="83" xfId="2" applyFont="1" applyFill="1" applyBorder="1" applyAlignment="1" applyProtection="1">
      <alignment horizontal="center" vertical="center" wrapText="1"/>
    </xf>
    <xf numFmtId="0" fontId="18" fillId="23" borderId="84" xfId="2" applyFont="1" applyFill="1" applyBorder="1" applyAlignment="1" applyProtection="1">
      <alignment horizontal="center" vertical="center" wrapText="1"/>
    </xf>
    <xf numFmtId="0" fontId="19" fillId="21" borderId="0" xfId="0" applyFont="1" applyFill="1" applyAlignment="1">
      <alignment horizontal="center" vertical="center" wrapText="1"/>
    </xf>
    <xf numFmtId="0" fontId="19" fillId="19" borderId="0" xfId="0" applyFont="1" applyFill="1" applyAlignment="1">
      <alignment horizontal="left" vertical="center" wrapText="1"/>
    </xf>
    <xf numFmtId="0" fontId="24" fillId="16" borderId="0" xfId="0" applyFont="1" applyFill="1" applyAlignment="1">
      <alignment horizontal="center" vertical="center" wrapText="1"/>
    </xf>
    <xf numFmtId="0" fontId="19" fillId="17" borderId="0" xfId="0" applyFont="1" applyFill="1" applyAlignment="1">
      <alignment horizontal="left" vertical="center" wrapText="1"/>
    </xf>
    <xf numFmtId="0" fontId="37" fillId="16" borderId="0" xfId="0" applyFont="1" applyFill="1" applyBorder="1" applyAlignment="1">
      <alignment horizontal="center" vertical="center"/>
    </xf>
    <xf numFmtId="0" fontId="27" fillId="16" borderId="0" xfId="0" applyFont="1" applyFill="1" applyBorder="1" applyAlignment="1">
      <alignment horizontal="center" vertical="center" wrapText="1"/>
    </xf>
    <xf numFmtId="0" fontId="26" fillId="16" borderId="0" xfId="0" applyFont="1" applyFill="1" applyBorder="1" applyAlignment="1">
      <alignment horizontal="center" vertical="center"/>
    </xf>
    <xf numFmtId="0" fontId="28" fillId="16" borderId="0" xfId="0" applyFont="1" applyFill="1" applyBorder="1" applyAlignment="1">
      <alignment horizontal="center" wrapText="1"/>
    </xf>
    <xf numFmtId="0" fontId="25" fillId="16" borderId="0" xfId="0" applyFont="1" applyFill="1" applyBorder="1" applyAlignment="1">
      <alignment horizontal="center" vertical="center" wrapText="1"/>
    </xf>
    <xf numFmtId="0" fontId="38" fillId="16" borderId="0" xfId="0" applyFont="1" applyFill="1" applyBorder="1" applyAlignment="1">
      <alignment horizontal="center" vertical="center" wrapText="1"/>
    </xf>
    <xf numFmtId="0" fontId="25" fillId="16" borderId="0" xfId="0" applyFont="1" applyFill="1" applyBorder="1" applyAlignment="1">
      <alignment horizontal="left" vertical="center" wrapText="1"/>
    </xf>
    <xf numFmtId="0" fontId="35" fillId="16" borderId="0" xfId="0" applyFont="1" applyFill="1" applyBorder="1" applyAlignment="1">
      <alignment horizontal="center" wrapText="1"/>
    </xf>
    <xf numFmtId="0" fontId="36" fillId="16" borderId="0" xfId="0" applyFont="1" applyFill="1" applyBorder="1" applyAlignment="1">
      <alignment horizontal="center" vertical="center" wrapText="1"/>
    </xf>
    <xf numFmtId="0" fontId="35" fillId="16" borderId="0" xfId="0" applyFont="1" applyFill="1" applyBorder="1" applyAlignment="1">
      <alignment horizontal="center" vertical="center" wrapText="1"/>
    </xf>
  </cellXfs>
  <cellStyles count="11">
    <cellStyle name="Normal" xfId="0" builtinId="0"/>
    <cellStyle name="Normal 2" xfId="1" xr:uid="{00000000-0005-0000-0000-000001000000}"/>
    <cellStyle name="Normal 2 2" xfId="2" xr:uid="{00000000-0005-0000-0000-000002000000}"/>
    <cellStyle name="Normal 3" xfId="3" xr:uid="{00000000-0005-0000-0000-000003000000}"/>
    <cellStyle name="Normal 4" xfId="4" xr:uid="{00000000-0005-0000-0000-000004000000}"/>
    <cellStyle name="Normal 5" xfId="5" xr:uid="{00000000-0005-0000-0000-000005000000}"/>
    <cellStyle name="Normal 5 2" xfId="6" xr:uid="{00000000-0005-0000-0000-000006000000}"/>
    <cellStyle name="Normal 6" xfId="7" xr:uid="{00000000-0005-0000-0000-000007000000}"/>
    <cellStyle name="Normal 6 2" xfId="8" xr:uid="{00000000-0005-0000-0000-000008000000}"/>
    <cellStyle name="Percent 2" xfId="9" xr:uid="{00000000-0005-0000-0000-000009000000}"/>
    <cellStyle name="Percent 3" xfId="10" xr:uid="{00000000-0005-0000-0000-00000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190500</xdr:rowOff>
    </xdr:from>
    <xdr:to>
      <xdr:col>17</xdr:col>
      <xdr:colOff>20328</xdr:colOff>
      <xdr:row>0</xdr:row>
      <xdr:rowOff>790575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1074400" y="190500"/>
          <a:ext cx="4635500" cy="596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3200">
              <a:solidFill>
                <a:schemeClr val="bg1"/>
              </a:solidFill>
            </a:rPr>
            <a:t>DRI Calculator</a:t>
          </a:r>
        </a:p>
      </xdr:txBody>
    </xdr:sp>
    <xdr:clientData/>
  </xdr:twoCellAnchor>
  <xdr:twoCellAnchor editAs="oneCell">
    <xdr:from>
      <xdr:col>0</xdr:col>
      <xdr:colOff>149225</xdr:colOff>
      <xdr:row>0</xdr:row>
      <xdr:rowOff>88900</xdr:rowOff>
    </xdr:from>
    <xdr:to>
      <xdr:col>0</xdr:col>
      <xdr:colOff>2625725</xdr:colOff>
      <xdr:row>0</xdr:row>
      <xdr:rowOff>927100</xdr:rowOff>
    </xdr:to>
    <xdr:pic>
      <xdr:nvPicPr>
        <xdr:cNvPr id="1030" name="Picture 1">
          <a:extLst>
            <a:ext uri="{FF2B5EF4-FFF2-40B4-BE49-F238E27FC236}">
              <a16:creationId xmlns:a16="http://schemas.microsoft.com/office/drawing/2014/main" id="{EEDC8D84-70A9-4512-8C5C-17CC5EFF7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225" y="88900"/>
          <a:ext cx="24765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3152775</xdr:colOff>
      <xdr:row>5</xdr:row>
      <xdr:rowOff>165100</xdr:rowOff>
    </xdr:from>
    <xdr:to>
      <xdr:col>1</xdr:col>
      <xdr:colOff>247650</xdr:colOff>
      <xdr:row>5</xdr:row>
      <xdr:rowOff>1536700</xdr:rowOff>
    </xdr:to>
    <xdr:pic>
      <xdr:nvPicPr>
        <xdr:cNvPr id="1031" name="Picture 3">
          <a:extLst>
            <a:ext uri="{FF2B5EF4-FFF2-40B4-BE49-F238E27FC236}">
              <a16:creationId xmlns:a16="http://schemas.microsoft.com/office/drawing/2014/main" id="{5D146C31-E234-4A0C-9A79-22BF4F8BA8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2775" y="3321050"/>
          <a:ext cx="12319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304800</xdr:rowOff>
    </xdr:from>
    <xdr:to>
      <xdr:col>0</xdr:col>
      <xdr:colOff>1069975</xdr:colOff>
      <xdr:row>5</xdr:row>
      <xdr:rowOff>1460500</xdr:rowOff>
    </xdr:to>
    <xdr:pic>
      <xdr:nvPicPr>
        <xdr:cNvPr id="1032" name="Picture 7">
          <a:extLst>
            <a:ext uri="{FF2B5EF4-FFF2-40B4-BE49-F238E27FC236}">
              <a16:creationId xmlns:a16="http://schemas.microsoft.com/office/drawing/2014/main" id="{30B0440D-6B83-4853-B789-77BE7C78810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460750"/>
          <a:ext cx="10699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231775</xdr:colOff>
      <xdr:row>25</xdr:row>
      <xdr:rowOff>38100</xdr:rowOff>
    </xdr:from>
    <xdr:to>
      <xdr:col>2</xdr:col>
      <xdr:colOff>2105025</xdr:colOff>
      <xdr:row>31</xdr:row>
      <xdr:rowOff>1063625</xdr:rowOff>
    </xdr:to>
    <xdr:pic>
      <xdr:nvPicPr>
        <xdr:cNvPr id="2052" name="Picture 1">
          <a:extLst>
            <a:ext uri="{FF2B5EF4-FFF2-40B4-BE49-F238E27FC236}">
              <a16:creationId xmlns:a16="http://schemas.microsoft.com/office/drawing/2014/main" id="{2CF296B7-84D0-4BD4-9636-60614545553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71535"/>
        <a:stretch>
          <a:fillRect/>
        </a:stretch>
      </xdr:blipFill>
      <xdr:spPr bwMode="auto">
        <a:xfrm>
          <a:off x="1209675" y="9572625"/>
          <a:ext cx="1873250" cy="216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198755</xdr:colOff>
      <xdr:row>0</xdr:row>
      <xdr:rowOff>203200</xdr:rowOff>
    </xdr:from>
    <xdr:to>
      <xdr:col>14</xdr:col>
      <xdr:colOff>114297</xdr:colOff>
      <xdr:row>0</xdr:row>
      <xdr:rowOff>803292</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5486400" y="203200"/>
          <a:ext cx="9220200" cy="596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3200">
              <a:solidFill>
                <a:schemeClr val="bg1"/>
              </a:solidFill>
            </a:rPr>
            <a:t>Recipe Calculator</a:t>
          </a:r>
        </a:p>
      </xdr:txBody>
    </xdr:sp>
    <xdr:clientData/>
  </xdr:twoCellAnchor>
  <xdr:twoCellAnchor editAs="oneCell">
    <xdr:from>
      <xdr:col>0</xdr:col>
      <xdr:colOff>107950</xdr:colOff>
      <xdr:row>0</xdr:row>
      <xdr:rowOff>88900</xdr:rowOff>
    </xdr:from>
    <xdr:to>
      <xdr:col>2</xdr:col>
      <xdr:colOff>1504950</xdr:colOff>
      <xdr:row>0</xdr:row>
      <xdr:rowOff>927100</xdr:rowOff>
    </xdr:to>
    <xdr:pic>
      <xdr:nvPicPr>
        <xdr:cNvPr id="2054" name="Picture 5">
          <a:extLst>
            <a:ext uri="{FF2B5EF4-FFF2-40B4-BE49-F238E27FC236}">
              <a16:creationId xmlns:a16="http://schemas.microsoft.com/office/drawing/2014/main" id="{6EB751AF-48B1-4BF1-AE62-FC3BC67E5A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950" y="88900"/>
          <a:ext cx="2374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121804</xdr:colOff>
      <xdr:row>0</xdr:row>
      <xdr:rowOff>214745</xdr:rowOff>
    </xdr:from>
    <xdr:to>
      <xdr:col>11</xdr:col>
      <xdr:colOff>721378</xdr:colOff>
      <xdr:row>0</xdr:row>
      <xdr:rowOff>808503</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5897129" y="214745"/>
          <a:ext cx="5418571" cy="596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3200">
              <a:solidFill>
                <a:schemeClr val="bg1"/>
              </a:solidFill>
            </a:rPr>
            <a:t>Preparation</a:t>
          </a:r>
        </a:p>
      </xdr:txBody>
    </xdr:sp>
    <xdr:clientData/>
  </xdr:twoCellAnchor>
  <xdr:twoCellAnchor editAs="oneCell">
    <xdr:from>
      <xdr:col>0</xdr:col>
      <xdr:colOff>85725</xdr:colOff>
      <xdr:row>0</xdr:row>
      <xdr:rowOff>98425</xdr:rowOff>
    </xdr:from>
    <xdr:to>
      <xdr:col>1</xdr:col>
      <xdr:colOff>698500</xdr:colOff>
      <xdr:row>0</xdr:row>
      <xdr:rowOff>936625</xdr:rowOff>
    </xdr:to>
    <xdr:pic>
      <xdr:nvPicPr>
        <xdr:cNvPr id="3076" name="Picture 4">
          <a:extLst>
            <a:ext uri="{FF2B5EF4-FFF2-40B4-BE49-F238E27FC236}">
              <a16:creationId xmlns:a16="http://schemas.microsoft.com/office/drawing/2014/main" id="{14D27AA1-D027-426F-94BF-9B6B8C683D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98425"/>
          <a:ext cx="23050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7"/>
  <sheetViews>
    <sheetView topLeftCell="A13" zoomScale="80" zoomScaleNormal="80" zoomScalePageLayoutView="80" workbookViewId="0">
      <pane xSplit="1" topLeftCell="B1" activePane="topRight" state="frozen"/>
      <selection activeCell="A7" sqref="A7"/>
      <selection pane="topRight" activeCell="A26" sqref="A26"/>
    </sheetView>
  </sheetViews>
  <sheetFormatPr defaultColWidth="8.76953125" defaultRowHeight="14.75" x14ac:dyDescent="0.75"/>
  <cols>
    <col min="1" max="1" width="59.2265625" customWidth="1"/>
  </cols>
  <sheetData>
    <row r="1" spans="1:46" s="193" customFormat="1" ht="82.15" customHeight="1" x14ac:dyDescent="0.75">
      <c r="B1" s="294"/>
      <c r="C1" s="294"/>
      <c r="D1" s="294"/>
      <c r="E1" s="294"/>
      <c r="F1" s="294"/>
      <c r="G1" s="294"/>
      <c r="H1" s="294"/>
      <c r="I1" s="294"/>
      <c r="J1" s="294"/>
      <c r="K1" s="294"/>
      <c r="L1" s="294"/>
      <c r="M1" s="294"/>
      <c r="N1" s="294"/>
      <c r="O1" s="294"/>
      <c r="P1" s="294"/>
      <c r="Q1" s="294"/>
      <c r="R1" s="294"/>
      <c r="S1" s="294"/>
      <c r="T1" s="294"/>
      <c r="U1" s="294"/>
      <c r="V1" s="294"/>
      <c r="W1" s="294"/>
    </row>
    <row r="2" spans="1:46" s="195" customFormat="1" ht="21" customHeight="1" x14ac:dyDescent="0.75">
      <c r="A2" s="319" t="s">
        <v>168</v>
      </c>
      <c r="B2" s="319"/>
      <c r="C2" s="319"/>
      <c r="D2" s="319"/>
      <c r="E2" s="319"/>
      <c r="F2" s="319"/>
      <c r="G2" s="319"/>
      <c r="H2" s="319"/>
      <c r="I2" s="319"/>
      <c r="J2" s="319"/>
      <c r="K2" s="319"/>
      <c r="L2" s="319"/>
      <c r="M2" s="319"/>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row>
    <row r="3" spans="1:46" s="195" customFormat="1" ht="52.15" customHeight="1" x14ac:dyDescent="0.75">
      <c r="A3" s="319"/>
      <c r="B3" s="319"/>
      <c r="C3" s="319"/>
      <c r="D3" s="319"/>
      <c r="E3" s="319"/>
      <c r="F3" s="319"/>
      <c r="G3" s="319"/>
      <c r="H3" s="319"/>
      <c r="I3" s="319"/>
      <c r="J3" s="319"/>
      <c r="K3" s="319"/>
      <c r="L3" s="319"/>
      <c r="M3" s="319"/>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row>
    <row r="4" spans="1:46" s="195" customFormat="1" ht="70.95" customHeight="1" thickBot="1" x14ac:dyDescent="0.95">
      <c r="A4" s="320" t="s">
        <v>169</v>
      </c>
      <c r="B4" s="321"/>
      <c r="C4" s="321"/>
      <c r="D4" s="321"/>
      <c r="E4" s="321"/>
      <c r="F4" s="321"/>
      <c r="G4" s="321"/>
      <c r="H4" s="321"/>
      <c r="I4" s="321"/>
      <c r="J4" s="321"/>
      <c r="K4" s="321"/>
      <c r="L4" s="321"/>
      <c r="M4" s="321"/>
      <c r="N4" s="248"/>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row>
    <row r="5" spans="1:46" ht="22.75" thickBot="1" x14ac:dyDescent="0.9">
      <c r="A5" s="88" t="s">
        <v>0</v>
      </c>
      <c r="B5" s="89">
        <v>450</v>
      </c>
      <c r="C5" s="301" t="s">
        <v>170</v>
      </c>
      <c r="D5" s="302"/>
      <c r="E5" s="302"/>
      <c r="F5" s="302"/>
      <c r="G5" s="302"/>
      <c r="H5" s="302"/>
      <c r="I5" s="302"/>
      <c r="J5" s="302"/>
      <c r="K5" s="302"/>
      <c r="L5" s="302"/>
      <c r="M5" s="1"/>
      <c r="N5" s="1"/>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3"/>
    </row>
    <row r="6" spans="1:46" ht="133.15" customHeight="1" thickBot="1" x14ac:dyDescent="0.9">
      <c r="A6" s="265" t="s">
        <v>163</v>
      </c>
      <c r="B6" s="90"/>
      <c r="C6" s="324" t="s">
        <v>155</v>
      </c>
      <c r="D6" s="303" t="s">
        <v>156</v>
      </c>
      <c r="E6" s="307" t="s">
        <v>157</v>
      </c>
      <c r="F6" s="303" t="s">
        <v>158</v>
      </c>
      <c r="G6" s="292" t="s">
        <v>1</v>
      </c>
      <c r="H6" s="305" t="s">
        <v>2</v>
      </c>
      <c r="I6" s="322" t="s">
        <v>3</v>
      </c>
      <c r="J6" s="299" t="s">
        <v>4</v>
      </c>
      <c r="K6" s="292" t="s">
        <v>5</v>
      </c>
      <c r="L6" s="313" t="s">
        <v>6</v>
      </c>
      <c r="M6" s="311" t="s">
        <v>7</v>
      </c>
      <c r="N6" s="299" t="s">
        <v>8</v>
      </c>
      <c r="O6" s="292" t="s">
        <v>9</v>
      </c>
      <c r="P6" s="313" t="s">
        <v>10</v>
      </c>
      <c r="Q6" s="311" t="s">
        <v>11</v>
      </c>
      <c r="R6" s="315" t="s">
        <v>12</v>
      </c>
      <c r="S6" s="317" t="s">
        <v>13</v>
      </c>
      <c r="T6" s="313" t="s">
        <v>14</v>
      </c>
      <c r="U6" s="311" t="s">
        <v>15</v>
      </c>
      <c r="V6" s="299" t="s">
        <v>16</v>
      </c>
      <c r="W6" s="292" t="s">
        <v>17</v>
      </c>
      <c r="X6" s="313" t="s">
        <v>18</v>
      </c>
      <c r="Y6" s="311" t="s">
        <v>19</v>
      </c>
      <c r="Z6" s="315" t="s">
        <v>20</v>
      </c>
      <c r="AA6" s="317" t="s">
        <v>21</v>
      </c>
      <c r="AB6" s="313" t="s">
        <v>22</v>
      </c>
      <c r="AC6" s="311" t="s">
        <v>23</v>
      </c>
      <c r="AD6" s="299" t="s">
        <v>24</v>
      </c>
      <c r="AE6" s="292" t="s">
        <v>25</v>
      </c>
      <c r="AF6" s="313" t="s">
        <v>26</v>
      </c>
      <c r="AG6" s="311" t="s">
        <v>27</v>
      </c>
      <c r="AH6" s="315" t="s">
        <v>28</v>
      </c>
      <c r="AI6" s="290" t="s">
        <v>29</v>
      </c>
      <c r="AJ6" s="297" t="s">
        <v>30</v>
      </c>
      <c r="AK6" s="311" t="s">
        <v>31</v>
      </c>
      <c r="AL6" s="299" t="s">
        <v>32</v>
      </c>
      <c r="AM6" s="295" t="s">
        <v>33</v>
      </c>
      <c r="AN6" s="313" t="s">
        <v>34</v>
      </c>
      <c r="AO6" s="311" t="s">
        <v>35</v>
      </c>
      <c r="AP6" s="299" t="s">
        <v>36</v>
      </c>
      <c r="AQ6" s="295" t="s">
        <v>37</v>
      </c>
      <c r="AR6" s="297" t="s">
        <v>38</v>
      </c>
      <c r="AS6" s="311" t="s">
        <v>39</v>
      </c>
      <c r="AT6" s="315" t="s">
        <v>40</v>
      </c>
    </row>
    <row r="7" spans="1:46" x14ac:dyDescent="0.75">
      <c r="A7" s="78" t="s">
        <v>167</v>
      </c>
      <c r="B7" s="91">
        <f>B5/4.5</f>
        <v>100</v>
      </c>
      <c r="C7" s="325"/>
      <c r="D7" s="304"/>
      <c r="E7" s="308"/>
      <c r="F7" s="304"/>
      <c r="G7" s="293"/>
      <c r="H7" s="306"/>
      <c r="I7" s="323"/>
      <c r="J7" s="300"/>
      <c r="K7" s="293"/>
      <c r="L7" s="314"/>
      <c r="M7" s="312"/>
      <c r="N7" s="300"/>
      <c r="O7" s="293"/>
      <c r="P7" s="314"/>
      <c r="Q7" s="312"/>
      <c r="R7" s="316"/>
      <c r="S7" s="318"/>
      <c r="T7" s="314"/>
      <c r="U7" s="312"/>
      <c r="V7" s="300"/>
      <c r="W7" s="293"/>
      <c r="X7" s="314"/>
      <c r="Y7" s="312"/>
      <c r="Z7" s="316"/>
      <c r="AA7" s="318"/>
      <c r="AB7" s="314"/>
      <c r="AC7" s="312"/>
      <c r="AD7" s="300"/>
      <c r="AE7" s="293"/>
      <c r="AF7" s="314"/>
      <c r="AG7" s="312"/>
      <c r="AH7" s="316"/>
      <c r="AI7" s="291"/>
      <c r="AJ7" s="298"/>
      <c r="AK7" s="312"/>
      <c r="AL7" s="300"/>
      <c r="AM7" s="296"/>
      <c r="AN7" s="314"/>
      <c r="AO7" s="312"/>
      <c r="AP7" s="300"/>
      <c r="AQ7" s="296"/>
      <c r="AR7" s="298"/>
      <c r="AS7" s="312"/>
      <c r="AT7" s="316"/>
    </row>
    <row r="8" spans="1:46" ht="15.5" thickBot="1" x14ac:dyDescent="0.9">
      <c r="A8" s="79" t="s">
        <v>41</v>
      </c>
      <c r="B8" s="92">
        <f>B5</f>
        <v>450</v>
      </c>
      <c r="C8" s="325"/>
      <c r="D8" s="304"/>
      <c r="E8" s="308"/>
      <c r="F8" s="304"/>
      <c r="G8" s="293"/>
      <c r="H8" s="306"/>
      <c r="I8" s="323"/>
      <c r="J8" s="300"/>
      <c r="K8" s="293"/>
      <c r="L8" s="314"/>
      <c r="M8" s="312"/>
      <c r="N8" s="300"/>
      <c r="O8" s="293"/>
      <c r="P8" s="314"/>
      <c r="Q8" s="312"/>
      <c r="R8" s="316"/>
      <c r="S8" s="318"/>
      <c r="T8" s="314"/>
      <c r="U8" s="312"/>
      <c r="V8" s="300"/>
      <c r="W8" s="293"/>
      <c r="X8" s="314"/>
      <c r="Y8" s="312"/>
      <c r="Z8" s="316"/>
      <c r="AA8" s="318"/>
      <c r="AB8" s="314"/>
      <c r="AC8" s="312"/>
      <c r="AD8" s="300"/>
      <c r="AE8" s="293"/>
      <c r="AF8" s="314"/>
      <c r="AG8" s="312"/>
      <c r="AH8" s="316"/>
      <c r="AI8" s="291"/>
      <c r="AJ8" s="298"/>
      <c r="AK8" s="312"/>
      <c r="AL8" s="300"/>
      <c r="AM8" s="296"/>
      <c r="AN8" s="314"/>
      <c r="AO8" s="312"/>
      <c r="AP8" s="300"/>
      <c r="AQ8" s="296"/>
      <c r="AR8" s="298"/>
      <c r="AS8" s="312"/>
      <c r="AT8" s="316"/>
    </row>
    <row r="9" spans="1:46" x14ac:dyDescent="0.75">
      <c r="A9" s="80" t="s">
        <v>42</v>
      </c>
      <c r="B9" s="267">
        <f>B5/450*13.7</f>
        <v>13.7</v>
      </c>
      <c r="C9" s="278">
        <v>9.1</v>
      </c>
      <c r="D9" s="4">
        <f>B9/C9</f>
        <v>1.5054945054945055</v>
      </c>
      <c r="E9" s="5">
        <v>11</v>
      </c>
      <c r="F9" s="6">
        <f>B9/E9</f>
        <v>1.2454545454545454</v>
      </c>
      <c r="G9" s="97">
        <v>13</v>
      </c>
      <c r="H9" s="98">
        <f>B9/G9</f>
        <v>1.0538461538461539</v>
      </c>
      <c r="I9" s="97">
        <v>19</v>
      </c>
      <c r="J9" s="99">
        <f>B9/I9</f>
        <v>0.72105263157894728</v>
      </c>
      <c r="K9" s="100">
        <v>34</v>
      </c>
      <c r="L9" s="101">
        <f>B9/K9</f>
        <v>0.40294117647058819</v>
      </c>
      <c r="M9" s="102">
        <v>34</v>
      </c>
      <c r="N9" s="103">
        <f>B9/M9</f>
        <v>0.40294117647058819</v>
      </c>
      <c r="O9" s="104">
        <v>52</v>
      </c>
      <c r="P9" s="105">
        <f>B9/O9</f>
        <v>0.26346153846153847</v>
      </c>
      <c r="Q9" s="102">
        <v>46</v>
      </c>
      <c r="R9" s="105">
        <f>B9/Q9</f>
        <v>0.29782608695652174</v>
      </c>
      <c r="S9" s="102">
        <v>77</v>
      </c>
      <c r="T9" s="105">
        <f>B9/S9</f>
        <v>0.17792207792207793</v>
      </c>
      <c r="U9" s="102">
        <v>77</v>
      </c>
      <c r="V9" s="106">
        <f>B9/U9</f>
        <v>0.17792207792207793</v>
      </c>
      <c r="W9" s="100">
        <v>56</v>
      </c>
      <c r="X9" s="105">
        <f>B9/W9</f>
        <v>0.24464285714285713</v>
      </c>
      <c r="Y9" s="102">
        <v>46</v>
      </c>
      <c r="Z9" s="105">
        <f>B9/Y9</f>
        <v>0.29782608695652174</v>
      </c>
      <c r="AA9" s="102">
        <v>77</v>
      </c>
      <c r="AB9" s="105">
        <f>B9/AA9</f>
        <v>0.17792207792207793</v>
      </c>
      <c r="AC9" s="102">
        <v>77</v>
      </c>
      <c r="AD9" s="107">
        <f>B9/AC9</f>
        <v>0.17792207792207793</v>
      </c>
      <c r="AE9" s="104">
        <v>56</v>
      </c>
      <c r="AF9" s="105">
        <f>B9/AE9</f>
        <v>0.24464285714285713</v>
      </c>
      <c r="AG9" s="102">
        <v>46</v>
      </c>
      <c r="AH9" s="105">
        <f>B9/AG9</f>
        <v>0.29782608695652174</v>
      </c>
      <c r="AI9" s="102">
        <v>77</v>
      </c>
      <c r="AJ9" s="105">
        <f>B9/AI9</f>
        <v>0.17792207792207793</v>
      </c>
      <c r="AK9" s="102">
        <v>77</v>
      </c>
      <c r="AL9" s="106">
        <f>B9/AK9</f>
        <v>0.17792207792207793</v>
      </c>
      <c r="AM9" s="100">
        <v>56</v>
      </c>
      <c r="AN9" s="105">
        <f>B9/AM9</f>
        <v>0.24464285714285713</v>
      </c>
      <c r="AO9" s="102">
        <v>46</v>
      </c>
      <c r="AP9" s="107">
        <f>B9/AO9</f>
        <v>0.29782608695652174</v>
      </c>
      <c r="AQ9" s="104">
        <v>56</v>
      </c>
      <c r="AR9" s="105">
        <f>B9/AQ9</f>
        <v>0.24464285714285713</v>
      </c>
      <c r="AS9" s="102">
        <v>46</v>
      </c>
      <c r="AT9" s="105">
        <f>B9/AS9</f>
        <v>0.29782608695652174</v>
      </c>
    </row>
    <row r="10" spans="1:46" x14ac:dyDescent="0.75">
      <c r="A10" s="81" t="s">
        <v>43</v>
      </c>
      <c r="B10" s="268">
        <f>B5/450*20.6</f>
        <v>20.6</v>
      </c>
      <c r="C10" s="279">
        <v>31</v>
      </c>
      <c r="D10" s="7">
        <f>B10/C10</f>
        <v>0.6645161290322581</v>
      </c>
      <c r="E10" s="8">
        <v>30</v>
      </c>
      <c r="F10" s="9">
        <f>B10/E10</f>
        <v>0.68666666666666676</v>
      </c>
      <c r="G10" s="10"/>
      <c r="H10" s="108"/>
      <c r="I10" s="10"/>
      <c r="J10" s="11"/>
      <c r="K10" s="21"/>
      <c r="L10" s="109"/>
      <c r="M10" s="20"/>
      <c r="N10" s="110"/>
      <c r="O10" s="18"/>
      <c r="P10" s="19"/>
      <c r="Q10" s="20"/>
      <c r="R10" s="111"/>
      <c r="S10" s="20"/>
      <c r="T10" s="111"/>
      <c r="U10" s="20"/>
      <c r="V10" s="112"/>
      <c r="W10" s="21"/>
      <c r="X10" s="19"/>
      <c r="Y10" s="20"/>
      <c r="Z10" s="111"/>
      <c r="AA10" s="20"/>
      <c r="AB10" s="111"/>
      <c r="AC10" s="20"/>
      <c r="AD10" s="113"/>
      <c r="AE10" s="18"/>
      <c r="AF10" s="19"/>
      <c r="AG10" s="20"/>
      <c r="AH10" s="111"/>
      <c r="AI10" s="20"/>
      <c r="AJ10" s="111"/>
      <c r="AK10" s="20"/>
      <c r="AL10" s="112"/>
      <c r="AM10" s="21"/>
      <c r="AN10" s="111"/>
      <c r="AO10" s="20"/>
      <c r="AP10" s="113"/>
      <c r="AQ10" s="18"/>
      <c r="AR10" s="111"/>
      <c r="AS10" s="20"/>
      <c r="AT10" s="19"/>
    </row>
    <row r="11" spans="1:46" x14ac:dyDescent="0.75">
      <c r="A11" s="93" t="s">
        <v>149</v>
      </c>
      <c r="B11" s="268">
        <f>B5/450*3.8</f>
        <v>3.8</v>
      </c>
      <c r="C11" s="73"/>
      <c r="D11" s="7"/>
      <c r="E11" s="13"/>
      <c r="F11" s="12"/>
      <c r="G11" s="14"/>
      <c r="H11" s="17"/>
      <c r="I11" s="14"/>
      <c r="J11" s="15"/>
      <c r="K11" s="114"/>
      <c r="L11" s="115"/>
      <c r="M11" s="116"/>
      <c r="N11" s="117"/>
      <c r="O11" s="118"/>
      <c r="P11" s="119"/>
      <c r="Q11" s="116"/>
      <c r="R11" s="120"/>
      <c r="S11" s="116"/>
      <c r="T11" s="120"/>
      <c r="U11" s="116"/>
      <c r="V11" s="121"/>
      <c r="W11" s="114"/>
      <c r="X11" s="119"/>
      <c r="Y11" s="116"/>
      <c r="Z11" s="120"/>
      <c r="AA11" s="116"/>
      <c r="AB11" s="120"/>
      <c r="AC11" s="116"/>
      <c r="AD11" s="122"/>
      <c r="AE11" s="118"/>
      <c r="AF11" s="119"/>
      <c r="AG11" s="116"/>
      <c r="AH11" s="120"/>
      <c r="AI11" s="116"/>
      <c r="AJ11" s="120"/>
      <c r="AK11" s="116"/>
      <c r="AL11" s="121"/>
      <c r="AM11" s="114"/>
      <c r="AN11" s="120"/>
      <c r="AO11" s="116"/>
      <c r="AP11" s="122"/>
      <c r="AQ11" s="118"/>
      <c r="AR11" s="120"/>
      <c r="AS11" s="116"/>
      <c r="AT11" s="119"/>
    </row>
    <row r="12" spans="1:46" x14ac:dyDescent="0.75">
      <c r="A12" s="94" t="s">
        <v>150</v>
      </c>
      <c r="B12" s="268">
        <f>B5/450*16.5</f>
        <v>16.5</v>
      </c>
      <c r="C12" s="72"/>
      <c r="D12" s="7"/>
      <c r="E12" s="8"/>
      <c r="F12" s="9"/>
      <c r="G12" s="10"/>
      <c r="H12" s="108"/>
      <c r="I12" s="10"/>
      <c r="J12" s="11"/>
      <c r="K12" s="21"/>
      <c r="L12" s="109"/>
      <c r="M12" s="20"/>
      <c r="N12" s="110"/>
      <c r="O12" s="18"/>
      <c r="P12" s="19"/>
      <c r="Q12" s="20"/>
      <c r="R12" s="111"/>
      <c r="S12" s="20"/>
      <c r="T12" s="111"/>
      <c r="U12" s="20"/>
      <c r="V12" s="112"/>
      <c r="W12" s="21"/>
      <c r="X12" s="19"/>
      <c r="Y12" s="20"/>
      <c r="Z12" s="111"/>
      <c r="AA12" s="20"/>
      <c r="AB12" s="111"/>
      <c r="AC12" s="20"/>
      <c r="AD12" s="113"/>
      <c r="AE12" s="18"/>
      <c r="AF12" s="19"/>
      <c r="AG12" s="20"/>
      <c r="AH12" s="111"/>
      <c r="AI12" s="20"/>
      <c r="AJ12" s="111"/>
      <c r="AK12" s="20"/>
      <c r="AL12" s="112"/>
      <c r="AM12" s="21"/>
      <c r="AN12" s="111"/>
      <c r="AO12" s="20"/>
      <c r="AP12" s="113"/>
      <c r="AQ12" s="18"/>
      <c r="AR12" s="111"/>
      <c r="AS12" s="20"/>
      <c r="AT12" s="19"/>
    </row>
    <row r="13" spans="1:46" ht="15.5" thickBot="1" x14ac:dyDescent="0.9">
      <c r="A13" s="82" t="s">
        <v>44</v>
      </c>
      <c r="B13" s="269">
        <f>B5/450*55.3</f>
        <v>55.3</v>
      </c>
      <c r="C13" s="280">
        <v>60</v>
      </c>
      <c r="D13" s="76">
        <f>B13/C13</f>
        <v>0.92166666666666663</v>
      </c>
      <c r="E13" s="22">
        <v>95</v>
      </c>
      <c r="F13" s="23">
        <f>B13/E13</f>
        <v>0.58210526315789468</v>
      </c>
      <c r="G13" s="28">
        <v>130</v>
      </c>
      <c r="H13" s="123">
        <f>B13/G13</f>
        <v>0.42538461538461536</v>
      </c>
      <c r="I13" s="124">
        <v>130</v>
      </c>
      <c r="J13" s="125">
        <f>B13/I13</f>
        <v>0.42538461538461536</v>
      </c>
      <c r="K13" s="126">
        <v>130</v>
      </c>
      <c r="L13" s="127">
        <f>B13/K13</f>
        <v>0.42538461538461536</v>
      </c>
      <c r="M13" s="128">
        <v>130</v>
      </c>
      <c r="N13" s="129">
        <f>B13/M13</f>
        <v>0.42538461538461536</v>
      </c>
      <c r="O13" s="130">
        <v>130</v>
      </c>
      <c r="P13" s="42">
        <f>B13/O13</f>
        <v>0.42538461538461536</v>
      </c>
      <c r="Q13" s="128">
        <v>130</v>
      </c>
      <c r="R13" s="42">
        <f>B13/Q13</f>
        <v>0.42538461538461536</v>
      </c>
      <c r="S13" s="128">
        <v>175</v>
      </c>
      <c r="T13" s="42">
        <f>B13/S13</f>
        <v>0.316</v>
      </c>
      <c r="U13" s="128">
        <v>210</v>
      </c>
      <c r="V13" s="43">
        <f>B13/U13</f>
        <v>0.26333333333333331</v>
      </c>
      <c r="W13" s="126">
        <v>130</v>
      </c>
      <c r="X13" s="42">
        <f>B13/W13</f>
        <v>0.42538461538461536</v>
      </c>
      <c r="Y13" s="128">
        <v>130</v>
      </c>
      <c r="Z13" s="42">
        <f>B13/Y13</f>
        <v>0.42538461538461536</v>
      </c>
      <c r="AA13" s="128">
        <v>175</v>
      </c>
      <c r="AB13" s="42">
        <f>B13/AA13</f>
        <v>0.316</v>
      </c>
      <c r="AC13" s="128">
        <v>210</v>
      </c>
      <c r="AD13" s="44">
        <f>B13/AC13</f>
        <v>0.26333333333333331</v>
      </c>
      <c r="AE13" s="130">
        <v>130</v>
      </c>
      <c r="AF13" s="42">
        <f>B13/AE13</f>
        <v>0.42538461538461536</v>
      </c>
      <c r="AG13" s="128">
        <v>130</v>
      </c>
      <c r="AH13" s="42">
        <f>B13/AG13</f>
        <v>0.42538461538461536</v>
      </c>
      <c r="AI13" s="128">
        <v>175</v>
      </c>
      <c r="AJ13" s="42">
        <f>B13/AI13</f>
        <v>0.316</v>
      </c>
      <c r="AK13" s="128">
        <v>210</v>
      </c>
      <c r="AL13" s="43">
        <f>B13/AK13</f>
        <v>0.26333333333333331</v>
      </c>
      <c r="AM13" s="126">
        <v>130</v>
      </c>
      <c r="AN13" s="42">
        <f>B13/AM13</f>
        <v>0.42538461538461536</v>
      </c>
      <c r="AO13" s="128">
        <v>130</v>
      </c>
      <c r="AP13" s="44">
        <f>B13/AO13</f>
        <v>0.42538461538461536</v>
      </c>
      <c r="AQ13" s="130">
        <v>130</v>
      </c>
      <c r="AR13" s="42">
        <f>B13/AQ13</f>
        <v>0.42538461538461536</v>
      </c>
      <c r="AS13" s="128">
        <v>130</v>
      </c>
      <c r="AT13" s="42">
        <f>B13/AS13</f>
        <v>0.42538461538461536</v>
      </c>
    </row>
    <row r="14" spans="1:46" ht="40.5" thickBot="1" x14ac:dyDescent="0.9">
      <c r="A14" s="309" t="s">
        <v>171</v>
      </c>
      <c r="B14" s="310"/>
      <c r="C14" s="261" t="s">
        <v>159</v>
      </c>
      <c r="D14" s="262" t="s">
        <v>160</v>
      </c>
      <c r="E14" s="263" t="s">
        <v>161</v>
      </c>
      <c r="F14" s="262" t="s">
        <v>162</v>
      </c>
      <c r="G14" s="134" t="s">
        <v>45</v>
      </c>
      <c r="H14" s="135" t="s">
        <v>46</v>
      </c>
      <c r="I14" s="132" t="s">
        <v>47</v>
      </c>
      <c r="J14" s="133" t="s">
        <v>48</v>
      </c>
      <c r="K14" s="136" t="s">
        <v>49</v>
      </c>
      <c r="L14" s="137" t="s">
        <v>50</v>
      </c>
      <c r="M14" s="138" t="s">
        <v>51</v>
      </c>
      <c r="N14" s="139" t="s">
        <v>52</v>
      </c>
      <c r="O14" s="140" t="s">
        <v>53</v>
      </c>
      <c r="P14" s="141" t="s">
        <v>54</v>
      </c>
      <c r="Q14" s="138" t="s">
        <v>55</v>
      </c>
      <c r="R14" s="142" t="s">
        <v>56</v>
      </c>
      <c r="S14" s="131" t="s">
        <v>57</v>
      </c>
      <c r="T14" s="137" t="s">
        <v>58</v>
      </c>
      <c r="U14" s="138" t="s">
        <v>59</v>
      </c>
      <c r="V14" s="133" t="s">
        <v>60</v>
      </c>
      <c r="W14" s="143" t="s">
        <v>61</v>
      </c>
      <c r="X14" s="141" t="s">
        <v>62</v>
      </c>
      <c r="Y14" s="138" t="s">
        <v>63</v>
      </c>
      <c r="Z14" s="142" t="s">
        <v>64</v>
      </c>
      <c r="AA14" s="131" t="s">
        <v>65</v>
      </c>
      <c r="AB14" s="137" t="s">
        <v>66</v>
      </c>
      <c r="AC14" s="138" t="s">
        <v>67</v>
      </c>
      <c r="AD14" s="139" t="s">
        <v>68</v>
      </c>
      <c r="AE14" s="140" t="s">
        <v>69</v>
      </c>
      <c r="AF14" s="141" t="s">
        <v>70</v>
      </c>
      <c r="AG14" s="138" t="s">
        <v>71</v>
      </c>
      <c r="AH14" s="142" t="s">
        <v>72</v>
      </c>
      <c r="AI14" s="131" t="s">
        <v>73</v>
      </c>
      <c r="AJ14" s="137" t="s">
        <v>74</v>
      </c>
      <c r="AK14" s="138" t="s">
        <v>75</v>
      </c>
      <c r="AL14" s="133" t="s">
        <v>76</v>
      </c>
      <c r="AM14" s="143" t="s">
        <v>77</v>
      </c>
      <c r="AN14" s="141" t="s">
        <v>78</v>
      </c>
      <c r="AO14" s="138" t="s">
        <v>79</v>
      </c>
      <c r="AP14" s="139" t="s">
        <v>80</v>
      </c>
      <c r="AQ14" s="140" t="s">
        <v>81</v>
      </c>
      <c r="AR14" s="141" t="s">
        <v>82</v>
      </c>
      <c r="AS14" s="138" t="s">
        <v>83</v>
      </c>
      <c r="AT14" s="142" t="s">
        <v>84</v>
      </c>
    </row>
    <row r="15" spans="1:46" x14ac:dyDescent="0.75">
      <c r="A15" s="83" t="s">
        <v>175</v>
      </c>
      <c r="B15" s="270">
        <f>B5/450*466</f>
        <v>466</v>
      </c>
      <c r="C15" s="281">
        <v>400</v>
      </c>
      <c r="D15" s="24">
        <f>B15/C15</f>
        <v>1.165</v>
      </c>
      <c r="E15" s="25">
        <v>500</v>
      </c>
      <c r="F15" s="23">
        <f>B15/E15</f>
        <v>0.93200000000000005</v>
      </c>
      <c r="G15" s="144">
        <v>300</v>
      </c>
      <c r="H15" s="145">
        <f>B15/G15</f>
        <v>1.5533333333333332</v>
      </c>
      <c r="I15" s="146">
        <v>400</v>
      </c>
      <c r="J15" s="99">
        <f>B15/I15</f>
        <v>1.165</v>
      </c>
      <c r="K15" s="147">
        <v>600</v>
      </c>
      <c r="L15" s="101">
        <f>B15/K15</f>
        <v>0.77666666666666662</v>
      </c>
      <c r="M15" s="148">
        <v>600</v>
      </c>
      <c r="N15" s="103">
        <f t="shared" ref="N15:N29" si="0">B15/M15</f>
        <v>0.77666666666666662</v>
      </c>
      <c r="O15" s="149">
        <v>900</v>
      </c>
      <c r="P15" s="150">
        <f t="shared" ref="P15:P29" si="1">B15/O15</f>
        <v>0.51777777777777778</v>
      </c>
      <c r="Q15" s="151">
        <v>700</v>
      </c>
      <c r="R15" s="150">
        <f>B15/Q15</f>
        <v>0.6657142857142857</v>
      </c>
      <c r="S15" s="151">
        <v>750</v>
      </c>
      <c r="T15" s="150">
        <f>B15/S15</f>
        <v>0.62133333333333329</v>
      </c>
      <c r="U15" s="151">
        <v>1200</v>
      </c>
      <c r="V15" s="152">
        <f>B15/U15</f>
        <v>0.38833333333333331</v>
      </c>
      <c r="W15" s="153">
        <v>900</v>
      </c>
      <c r="X15" s="150">
        <f>B15/W15</f>
        <v>0.51777777777777778</v>
      </c>
      <c r="Y15" s="151">
        <v>700</v>
      </c>
      <c r="Z15" s="150">
        <f>B15/Y15</f>
        <v>0.6657142857142857</v>
      </c>
      <c r="AA15" s="151">
        <v>770</v>
      </c>
      <c r="AB15" s="150">
        <f t="shared" ref="AB15:AB29" si="2">B15/AA15</f>
        <v>0.60519480519480517</v>
      </c>
      <c r="AC15" s="151">
        <v>1300</v>
      </c>
      <c r="AD15" s="154">
        <f>B15/AC15</f>
        <v>0.35846153846153844</v>
      </c>
      <c r="AE15" s="149">
        <v>900</v>
      </c>
      <c r="AF15" s="150">
        <f>B15/AE15</f>
        <v>0.51777777777777778</v>
      </c>
      <c r="AG15" s="151">
        <v>700</v>
      </c>
      <c r="AH15" s="150">
        <f>B15/AG15</f>
        <v>0.6657142857142857</v>
      </c>
      <c r="AI15" s="151">
        <v>770</v>
      </c>
      <c r="AJ15" s="150">
        <f>B15/AI15</f>
        <v>0.60519480519480517</v>
      </c>
      <c r="AK15" s="151">
        <v>1300</v>
      </c>
      <c r="AL15" s="152">
        <f>B15/AK15</f>
        <v>0.35846153846153844</v>
      </c>
      <c r="AM15" s="153">
        <v>900</v>
      </c>
      <c r="AN15" s="150">
        <f>B15/AM15</f>
        <v>0.51777777777777778</v>
      </c>
      <c r="AO15" s="151">
        <v>700</v>
      </c>
      <c r="AP15" s="154">
        <f>B15/AO15</f>
        <v>0.6657142857142857</v>
      </c>
      <c r="AQ15" s="149">
        <v>900</v>
      </c>
      <c r="AR15" s="150">
        <f>B15/AQ15</f>
        <v>0.51777777777777778</v>
      </c>
      <c r="AS15" s="151">
        <v>700</v>
      </c>
      <c r="AT15" s="150">
        <f>B15/AS15</f>
        <v>0.6657142857142857</v>
      </c>
    </row>
    <row r="16" spans="1:46" x14ac:dyDescent="0.75">
      <c r="A16" s="84" t="s">
        <v>184</v>
      </c>
      <c r="B16" s="271">
        <f>B5/450*9.2</f>
        <v>9.1999999999999993</v>
      </c>
      <c r="C16" s="159">
        <v>10</v>
      </c>
      <c r="D16" s="7">
        <f>B16/C16</f>
        <v>0.91999999999999993</v>
      </c>
      <c r="E16" s="16">
        <v>10</v>
      </c>
      <c r="F16" s="9">
        <f>B16/E16</f>
        <v>0.91999999999999993</v>
      </c>
      <c r="G16" s="155">
        <v>15</v>
      </c>
      <c r="H16" s="17">
        <f>B16/G16</f>
        <v>0.61333333333333329</v>
      </c>
      <c r="I16" s="31">
        <v>15</v>
      </c>
      <c r="J16" s="156">
        <f>B16/I16</f>
        <v>0.61333333333333329</v>
      </c>
      <c r="K16" s="32">
        <v>15</v>
      </c>
      <c r="L16" s="33">
        <f>B16/K16</f>
        <v>0.61333333333333329</v>
      </c>
      <c r="M16" s="34">
        <v>15</v>
      </c>
      <c r="N16" s="35">
        <f t="shared" si="0"/>
        <v>0.61333333333333329</v>
      </c>
      <c r="O16" s="18">
        <v>15</v>
      </c>
      <c r="P16" s="19">
        <f t="shared" si="1"/>
        <v>0.61333333333333329</v>
      </c>
      <c r="Q16" s="20">
        <v>15</v>
      </c>
      <c r="R16" s="19">
        <f t="shared" ref="R16:R29" si="3">B16/Q16</f>
        <v>0.61333333333333329</v>
      </c>
      <c r="S16" s="20">
        <v>15</v>
      </c>
      <c r="T16" s="19">
        <f>B16/S16</f>
        <v>0.61333333333333329</v>
      </c>
      <c r="U16" s="20">
        <v>15</v>
      </c>
      <c r="V16" s="36">
        <f>B16/U16</f>
        <v>0.61333333333333329</v>
      </c>
      <c r="W16" s="21">
        <v>15</v>
      </c>
      <c r="X16" s="19">
        <f>B16/W16</f>
        <v>0.61333333333333329</v>
      </c>
      <c r="Y16" s="20">
        <v>15</v>
      </c>
      <c r="Z16" s="19">
        <f>B16/Y16</f>
        <v>0.61333333333333329</v>
      </c>
      <c r="AA16" s="20">
        <v>15</v>
      </c>
      <c r="AB16" s="19">
        <f t="shared" si="2"/>
        <v>0.61333333333333329</v>
      </c>
      <c r="AC16" s="20">
        <v>15</v>
      </c>
      <c r="AD16" s="37">
        <f>B16/AC16</f>
        <v>0.61333333333333329</v>
      </c>
      <c r="AE16" s="18">
        <v>15</v>
      </c>
      <c r="AF16" s="19">
        <f>B16/AE16</f>
        <v>0.61333333333333329</v>
      </c>
      <c r="AG16" s="20">
        <v>15</v>
      </c>
      <c r="AH16" s="19">
        <f>B16/AG16</f>
        <v>0.61333333333333329</v>
      </c>
      <c r="AI16" s="20">
        <v>15</v>
      </c>
      <c r="AJ16" s="19">
        <f>B16/AI16</f>
        <v>0.61333333333333329</v>
      </c>
      <c r="AK16" s="20">
        <v>15</v>
      </c>
      <c r="AL16" s="36">
        <f>B16/AK16</f>
        <v>0.61333333333333329</v>
      </c>
      <c r="AM16" s="21">
        <v>15</v>
      </c>
      <c r="AN16" s="19">
        <f>B16/AM16</f>
        <v>0.61333333333333329</v>
      </c>
      <c r="AO16" s="20">
        <v>15</v>
      </c>
      <c r="AP16" s="37">
        <f>B16/AO16</f>
        <v>0.61333333333333329</v>
      </c>
      <c r="AQ16" s="18">
        <v>20</v>
      </c>
      <c r="AR16" s="19">
        <f>B16/AQ16</f>
        <v>0.45999999999999996</v>
      </c>
      <c r="AS16" s="20">
        <v>20</v>
      </c>
      <c r="AT16" s="19">
        <f>B16/AS16</f>
        <v>0.45999999999999996</v>
      </c>
    </row>
    <row r="17" spans="1:46" ht="16" x14ac:dyDescent="0.9">
      <c r="A17" s="84" t="s">
        <v>185</v>
      </c>
      <c r="B17" s="272">
        <f>B16*40</f>
        <v>368</v>
      </c>
      <c r="C17" s="159">
        <v>400</v>
      </c>
      <c r="D17" s="26"/>
      <c r="E17" s="27">
        <v>400</v>
      </c>
      <c r="F17" s="26"/>
      <c r="G17" s="27">
        <v>600</v>
      </c>
      <c r="H17" s="30"/>
      <c r="I17" s="157">
        <v>600</v>
      </c>
      <c r="J17" s="158"/>
      <c r="K17" s="159">
        <v>600</v>
      </c>
      <c r="L17" s="33"/>
      <c r="M17" s="159">
        <v>600</v>
      </c>
      <c r="N17" s="35"/>
      <c r="O17" s="159">
        <v>600</v>
      </c>
      <c r="P17" s="19"/>
      <c r="Q17" s="159">
        <v>600</v>
      </c>
      <c r="R17" s="19"/>
      <c r="S17" s="159">
        <v>600</v>
      </c>
      <c r="T17" s="19"/>
      <c r="U17" s="159">
        <v>600</v>
      </c>
      <c r="V17" s="36"/>
      <c r="W17" s="159">
        <v>600</v>
      </c>
      <c r="X17" s="19"/>
      <c r="Y17" s="159">
        <v>600</v>
      </c>
      <c r="Z17" s="19"/>
      <c r="AA17" s="159">
        <v>600</v>
      </c>
      <c r="AB17" s="19"/>
      <c r="AC17" s="159">
        <v>600</v>
      </c>
      <c r="AD17" s="37"/>
      <c r="AE17" s="159">
        <v>600</v>
      </c>
      <c r="AF17" s="19"/>
      <c r="AG17" s="159">
        <v>600</v>
      </c>
      <c r="AH17" s="19"/>
      <c r="AI17" s="159">
        <v>600</v>
      </c>
      <c r="AJ17" s="19"/>
      <c r="AK17" s="159">
        <v>600</v>
      </c>
      <c r="AL17" s="36"/>
      <c r="AM17" s="159">
        <v>600</v>
      </c>
      <c r="AN17" s="19"/>
      <c r="AO17" s="159">
        <v>600</v>
      </c>
      <c r="AP17" s="37"/>
      <c r="AQ17" s="159">
        <v>800</v>
      </c>
      <c r="AR17" s="19"/>
      <c r="AS17" s="159">
        <v>800</v>
      </c>
      <c r="AT17" s="19"/>
    </row>
    <row r="18" spans="1:46" x14ac:dyDescent="0.75">
      <c r="A18" s="85" t="s">
        <v>172</v>
      </c>
      <c r="B18" s="274">
        <f>B5/450*11</f>
        <v>11</v>
      </c>
      <c r="C18" s="283">
        <v>4</v>
      </c>
      <c r="D18" s="24">
        <f t="shared" ref="D18:D29" si="4">B18/C18</f>
        <v>2.75</v>
      </c>
      <c r="E18" s="28">
        <v>5</v>
      </c>
      <c r="F18" s="23">
        <f t="shared" ref="F18:F29" si="5">B18/E18</f>
        <v>2.2000000000000002</v>
      </c>
      <c r="G18" s="38">
        <v>6</v>
      </c>
      <c r="H18" s="39">
        <f t="shared" ref="H18:H29" si="6">B18/G18</f>
        <v>1.8333333333333333</v>
      </c>
      <c r="I18" s="40">
        <v>7</v>
      </c>
      <c r="J18" s="41">
        <f t="shared" ref="J18:J29" si="7">B18/I18</f>
        <v>1.5714285714285714</v>
      </c>
      <c r="K18" s="160">
        <v>11</v>
      </c>
      <c r="L18" s="127">
        <f t="shared" ref="L18:L29" si="8">B18/K18</f>
        <v>1</v>
      </c>
      <c r="M18" s="161">
        <v>11</v>
      </c>
      <c r="N18" s="129">
        <f t="shared" si="0"/>
        <v>1</v>
      </c>
      <c r="O18" s="130">
        <v>15</v>
      </c>
      <c r="P18" s="42">
        <f t="shared" si="1"/>
        <v>0.73333333333333328</v>
      </c>
      <c r="Q18" s="128">
        <v>15</v>
      </c>
      <c r="R18" s="42">
        <f t="shared" si="3"/>
        <v>0.73333333333333328</v>
      </c>
      <c r="S18" s="128">
        <v>15</v>
      </c>
      <c r="T18" s="42">
        <f t="shared" ref="T18:T29" si="9">B18/S18</f>
        <v>0.73333333333333328</v>
      </c>
      <c r="U18" s="128">
        <v>19</v>
      </c>
      <c r="V18" s="43">
        <f t="shared" ref="V18:V29" si="10">B18/U18</f>
        <v>0.57894736842105265</v>
      </c>
      <c r="W18" s="126">
        <v>15</v>
      </c>
      <c r="X18" s="42">
        <f t="shared" ref="X18:X29" si="11">B18/W18</f>
        <v>0.73333333333333328</v>
      </c>
      <c r="Y18" s="128">
        <v>15</v>
      </c>
      <c r="Z18" s="42">
        <f t="shared" ref="Z18:Z29" si="12">B18/Y18</f>
        <v>0.73333333333333328</v>
      </c>
      <c r="AA18" s="128">
        <v>15</v>
      </c>
      <c r="AB18" s="42">
        <f t="shared" si="2"/>
        <v>0.73333333333333328</v>
      </c>
      <c r="AC18" s="128">
        <v>19</v>
      </c>
      <c r="AD18" s="44">
        <f t="shared" ref="AD18:AD29" si="13">B18/AC18</f>
        <v>0.57894736842105265</v>
      </c>
      <c r="AE18" s="130">
        <v>15</v>
      </c>
      <c r="AF18" s="42">
        <f t="shared" ref="AF18:AF29" si="14">B18/AE18</f>
        <v>0.73333333333333328</v>
      </c>
      <c r="AG18" s="128">
        <v>15</v>
      </c>
      <c r="AH18" s="42">
        <f t="shared" ref="AH18:AH29" si="15">B18/AG18</f>
        <v>0.73333333333333328</v>
      </c>
      <c r="AI18" s="128">
        <v>15</v>
      </c>
      <c r="AJ18" s="42">
        <f t="shared" ref="AJ18:AJ29" si="16">B18/AI18</f>
        <v>0.73333333333333328</v>
      </c>
      <c r="AK18" s="128">
        <v>19</v>
      </c>
      <c r="AL18" s="43">
        <f t="shared" ref="AL18:AL29" si="17">B18/AK18</f>
        <v>0.57894736842105265</v>
      </c>
      <c r="AM18" s="126">
        <v>15</v>
      </c>
      <c r="AN18" s="42">
        <f t="shared" ref="AN18:AN29" si="18">B18/AM18</f>
        <v>0.73333333333333328</v>
      </c>
      <c r="AO18" s="128">
        <v>15</v>
      </c>
      <c r="AP18" s="44">
        <f t="shared" ref="AP18:AP29" si="19">B18/AO18</f>
        <v>0.73333333333333328</v>
      </c>
      <c r="AQ18" s="130">
        <v>15</v>
      </c>
      <c r="AR18" s="42">
        <f t="shared" ref="AR18:AR29" si="20">B18/AQ18</f>
        <v>0.73333333333333328</v>
      </c>
      <c r="AS18" s="128">
        <v>15</v>
      </c>
      <c r="AT18" s="42">
        <f t="shared" ref="AT18:AT29" si="21">B18/AS18</f>
        <v>0.73333333333333328</v>
      </c>
    </row>
    <row r="19" spans="1:46" x14ac:dyDescent="0.75">
      <c r="A19" s="84" t="s">
        <v>176</v>
      </c>
      <c r="B19" s="272">
        <f>B5/450*31</f>
        <v>31</v>
      </c>
      <c r="C19" s="282">
        <v>2</v>
      </c>
      <c r="D19" s="7">
        <f t="shared" si="4"/>
        <v>15.5</v>
      </c>
      <c r="E19" s="16">
        <v>2.5</v>
      </c>
      <c r="F19" s="9">
        <f t="shared" si="5"/>
        <v>12.4</v>
      </c>
      <c r="G19" s="29">
        <v>30</v>
      </c>
      <c r="H19" s="17">
        <f t="shared" si="6"/>
        <v>1.0333333333333334</v>
      </c>
      <c r="I19" s="31">
        <v>55</v>
      </c>
      <c r="J19" s="64">
        <f t="shared" si="7"/>
        <v>0.5636363636363636</v>
      </c>
      <c r="K19" s="32">
        <v>60</v>
      </c>
      <c r="L19" s="33">
        <f t="shared" si="8"/>
        <v>0.51666666666666672</v>
      </c>
      <c r="M19" s="34">
        <v>60</v>
      </c>
      <c r="N19" s="35">
        <f t="shared" si="0"/>
        <v>0.51666666666666672</v>
      </c>
      <c r="O19" s="18">
        <v>75</v>
      </c>
      <c r="P19" s="19">
        <f t="shared" si="1"/>
        <v>0.41333333333333333</v>
      </c>
      <c r="Q19" s="20">
        <v>75</v>
      </c>
      <c r="R19" s="19">
        <f t="shared" si="3"/>
        <v>0.41333333333333333</v>
      </c>
      <c r="S19" s="20">
        <v>75</v>
      </c>
      <c r="T19" s="19">
        <f t="shared" si="9"/>
        <v>0.41333333333333333</v>
      </c>
      <c r="U19" s="20">
        <v>75</v>
      </c>
      <c r="V19" s="36">
        <f t="shared" si="10"/>
        <v>0.41333333333333333</v>
      </c>
      <c r="W19" s="21">
        <v>120</v>
      </c>
      <c r="X19" s="19">
        <f t="shared" si="11"/>
        <v>0.25833333333333336</v>
      </c>
      <c r="Y19" s="20">
        <v>90</v>
      </c>
      <c r="Z19" s="19">
        <f t="shared" si="12"/>
        <v>0.34444444444444444</v>
      </c>
      <c r="AA19" s="20">
        <v>90</v>
      </c>
      <c r="AB19" s="19">
        <f t="shared" si="2"/>
        <v>0.34444444444444444</v>
      </c>
      <c r="AC19" s="20">
        <v>90</v>
      </c>
      <c r="AD19" s="37">
        <f t="shared" si="13"/>
        <v>0.34444444444444444</v>
      </c>
      <c r="AE19" s="18">
        <v>120</v>
      </c>
      <c r="AF19" s="19">
        <f t="shared" si="14"/>
        <v>0.25833333333333336</v>
      </c>
      <c r="AG19" s="20">
        <v>90</v>
      </c>
      <c r="AH19" s="19">
        <f t="shared" si="15"/>
        <v>0.34444444444444444</v>
      </c>
      <c r="AI19" s="20">
        <v>90</v>
      </c>
      <c r="AJ19" s="19">
        <f t="shared" si="16"/>
        <v>0.34444444444444444</v>
      </c>
      <c r="AK19" s="20">
        <v>90</v>
      </c>
      <c r="AL19" s="36">
        <f t="shared" si="17"/>
        <v>0.34444444444444444</v>
      </c>
      <c r="AM19" s="21">
        <v>120</v>
      </c>
      <c r="AN19" s="19">
        <f t="shared" si="18"/>
        <v>0.25833333333333336</v>
      </c>
      <c r="AO19" s="20">
        <v>90</v>
      </c>
      <c r="AP19" s="37">
        <f t="shared" si="19"/>
        <v>0.34444444444444444</v>
      </c>
      <c r="AQ19" s="18">
        <v>120</v>
      </c>
      <c r="AR19" s="19">
        <f t="shared" si="20"/>
        <v>0.25833333333333336</v>
      </c>
      <c r="AS19" s="20">
        <v>90</v>
      </c>
      <c r="AT19" s="19">
        <f t="shared" si="21"/>
        <v>0.34444444444444444</v>
      </c>
    </row>
    <row r="20" spans="1:46" x14ac:dyDescent="0.75">
      <c r="A20" s="85" t="s">
        <v>186</v>
      </c>
      <c r="B20" s="96">
        <f>B5/450*0.6</f>
        <v>0.6</v>
      </c>
      <c r="C20" s="75">
        <v>0.2</v>
      </c>
      <c r="D20" s="24">
        <f t="shared" si="4"/>
        <v>2.9999999999999996</v>
      </c>
      <c r="E20" s="28">
        <v>0.3</v>
      </c>
      <c r="F20" s="23">
        <f t="shared" si="5"/>
        <v>2</v>
      </c>
      <c r="G20" s="38">
        <v>0.5</v>
      </c>
      <c r="H20" s="39">
        <f t="shared" si="6"/>
        <v>1.2</v>
      </c>
      <c r="I20" s="40">
        <v>0.6</v>
      </c>
      <c r="J20" s="41">
        <f t="shared" si="7"/>
        <v>1</v>
      </c>
      <c r="K20" s="162">
        <v>0.9</v>
      </c>
      <c r="L20" s="127">
        <f t="shared" si="8"/>
        <v>0.66666666666666663</v>
      </c>
      <c r="M20" s="163">
        <v>0.9</v>
      </c>
      <c r="N20" s="129">
        <f t="shared" si="0"/>
        <v>0.66666666666666663</v>
      </c>
      <c r="O20" s="130">
        <v>1.2</v>
      </c>
      <c r="P20" s="42">
        <f t="shared" si="1"/>
        <v>0.5</v>
      </c>
      <c r="Q20" s="128">
        <v>1</v>
      </c>
      <c r="R20" s="42">
        <f t="shared" si="3"/>
        <v>0.6</v>
      </c>
      <c r="S20" s="128">
        <v>1.4</v>
      </c>
      <c r="T20" s="42">
        <f t="shared" si="9"/>
        <v>0.4285714285714286</v>
      </c>
      <c r="U20" s="128">
        <v>1.4</v>
      </c>
      <c r="V20" s="43">
        <f t="shared" si="10"/>
        <v>0.4285714285714286</v>
      </c>
      <c r="W20" s="126">
        <v>1.2</v>
      </c>
      <c r="X20" s="42">
        <f t="shared" si="11"/>
        <v>0.5</v>
      </c>
      <c r="Y20" s="128">
        <v>1.1000000000000001</v>
      </c>
      <c r="Z20" s="42">
        <f t="shared" si="12"/>
        <v>0.54545454545454541</v>
      </c>
      <c r="AA20" s="128">
        <v>1.4</v>
      </c>
      <c r="AB20" s="42">
        <f t="shared" si="2"/>
        <v>0.4285714285714286</v>
      </c>
      <c r="AC20" s="128">
        <v>1.4</v>
      </c>
      <c r="AD20" s="44">
        <f t="shared" si="13"/>
        <v>0.4285714285714286</v>
      </c>
      <c r="AE20" s="130">
        <v>1.2</v>
      </c>
      <c r="AF20" s="42">
        <f t="shared" si="14"/>
        <v>0.5</v>
      </c>
      <c r="AG20" s="128">
        <v>1.1000000000000001</v>
      </c>
      <c r="AH20" s="42">
        <f t="shared" si="15"/>
        <v>0.54545454545454541</v>
      </c>
      <c r="AI20" s="128">
        <v>1.4</v>
      </c>
      <c r="AJ20" s="42">
        <f t="shared" si="16"/>
        <v>0.4285714285714286</v>
      </c>
      <c r="AK20" s="128">
        <v>1.4</v>
      </c>
      <c r="AL20" s="43">
        <f t="shared" si="17"/>
        <v>0.4285714285714286</v>
      </c>
      <c r="AM20" s="126">
        <v>1.2</v>
      </c>
      <c r="AN20" s="42">
        <f t="shared" si="18"/>
        <v>0.5</v>
      </c>
      <c r="AO20" s="128">
        <v>1.1000000000000001</v>
      </c>
      <c r="AP20" s="44">
        <f t="shared" si="19"/>
        <v>0.54545454545454541</v>
      </c>
      <c r="AQ20" s="130">
        <v>1.2</v>
      </c>
      <c r="AR20" s="42">
        <f t="shared" si="20"/>
        <v>0.5</v>
      </c>
      <c r="AS20" s="128">
        <v>1.1000000000000001</v>
      </c>
      <c r="AT20" s="42">
        <f t="shared" si="21"/>
        <v>0.54545454545454541</v>
      </c>
    </row>
    <row r="21" spans="1:46" x14ac:dyDescent="0.75">
      <c r="A21" s="84" t="s">
        <v>187</v>
      </c>
      <c r="B21" s="95">
        <f>B5/450*0.8</f>
        <v>0.8</v>
      </c>
      <c r="C21" s="74">
        <v>0.3</v>
      </c>
      <c r="D21" s="7">
        <f t="shared" si="4"/>
        <v>2.666666666666667</v>
      </c>
      <c r="E21" s="16">
        <v>0.4</v>
      </c>
      <c r="F21" s="9">
        <f t="shared" si="5"/>
        <v>2</v>
      </c>
      <c r="G21" s="29">
        <v>0.5</v>
      </c>
      <c r="H21" s="17">
        <f t="shared" si="6"/>
        <v>1.6</v>
      </c>
      <c r="I21" s="31">
        <v>0.6</v>
      </c>
      <c r="J21" s="156">
        <f t="shared" si="7"/>
        <v>1.3333333333333335</v>
      </c>
      <c r="K21" s="164">
        <v>0.9</v>
      </c>
      <c r="L21" s="33">
        <f t="shared" si="8"/>
        <v>0.88888888888888895</v>
      </c>
      <c r="M21" s="165">
        <v>0.9</v>
      </c>
      <c r="N21" s="35">
        <f t="shared" si="0"/>
        <v>0.88888888888888895</v>
      </c>
      <c r="O21" s="18">
        <v>1.3</v>
      </c>
      <c r="P21" s="19">
        <f t="shared" si="1"/>
        <v>0.61538461538461542</v>
      </c>
      <c r="Q21" s="20">
        <v>1</v>
      </c>
      <c r="R21" s="19">
        <f t="shared" si="3"/>
        <v>0.8</v>
      </c>
      <c r="S21" s="20">
        <v>1.4</v>
      </c>
      <c r="T21" s="19">
        <f t="shared" si="9"/>
        <v>0.57142857142857151</v>
      </c>
      <c r="U21" s="20">
        <v>1.6</v>
      </c>
      <c r="V21" s="36">
        <f t="shared" si="10"/>
        <v>0.5</v>
      </c>
      <c r="W21" s="21">
        <v>1.3</v>
      </c>
      <c r="X21" s="19">
        <f t="shared" si="11"/>
        <v>0.61538461538461542</v>
      </c>
      <c r="Y21" s="20">
        <v>1.1000000000000001</v>
      </c>
      <c r="Z21" s="19">
        <f t="shared" si="12"/>
        <v>0.72727272727272729</v>
      </c>
      <c r="AA21" s="20">
        <v>1.4</v>
      </c>
      <c r="AB21" s="19">
        <f t="shared" si="2"/>
        <v>0.57142857142857151</v>
      </c>
      <c r="AC21" s="20">
        <v>1.6</v>
      </c>
      <c r="AD21" s="37">
        <f t="shared" si="13"/>
        <v>0.5</v>
      </c>
      <c r="AE21" s="18">
        <v>1.3</v>
      </c>
      <c r="AF21" s="19">
        <f t="shared" si="14"/>
        <v>0.61538461538461542</v>
      </c>
      <c r="AG21" s="20">
        <v>1.1000000000000001</v>
      </c>
      <c r="AH21" s="19">
        <f t="shared" si="15"/>
        <v>0.72727272727272729</v>
      </c>
      <c r="AI21" s="20">
        <v>1.4</v>
      </c>
      <c r="AJ21" s="19">
        <f t="shared" si="16"/>
        <v>0.57142857142857151</v>
      </c>
      <c r="AK21" s="20">
        <v>1.6</v>
      </c>
      <c r="AL21" s="36">
        <f t="shared" si="17"/>
        <v>0.5</v>
      </c>
      <c r="AM21" s="21">
        <v>1.3</v>
      </c>
      <c r="AN21" s="19">
        <f t="shared" si="18"/>
        <v>0.61538461538461542</v>
      </c>
      <c r="AO21" s="20">
        <v>1.1000000000000001</v>
      </c>
      <c r="AP21" s="37">
        <f t="shared" si="19"/>
        <v>0.72727272727272729</v>
      </c>
      <c r="AQ21" s="18">
        <v>1.3</v>
      </c>
      <c r="AR21" s="19">
        <f t="shared" si="20"/>
        <v>0.61538461538461542</v>
      </c>
      <c r="AS21" s="20">
        <v>1.1000000000000001</v>
      </c>
      <c r="AT21" s="19">
        <f t="shared" si="21"/>
        <v>0.72727272727272729</v>
      </c>
    </row>
    <row r="22" spans="1:46" ht="16" x14ac:dyDescent="0.9">
      <c r="A22" s="85" t="s">
        <v>173</v>
      </c>
      <c r="B22" s="96">
        <f>B5/450*0.7</f>
        <v>0.7</v>
      </c>
      <c r="C22" s="75">
        <v>0.1</v>
      </c>
      <c r="D22" s="24">
        <f t="shared" si="4"/>
        <v>6.9999999999999991</v>
      </c>
      <c r="E22" s="28">
        <v>0.3</v>
      </c>
      <c r="F22" s="23">
        <f t="shared" si="5"/>
        <v>2.3333333333333335</v>
      </c>
      <c r="G22" s="38">
        <v>0.5</v>
      </c>
      <c r="H22" s="39">
        <f t="shared" si="6"/>
        <v>1.4</v>
      </c>
      <c r="I22" s="40">
        <v>0.6</v>
      </c>
      <c r="J22" s="41">
        <f t="shared" si="7"/>
        <v>1.1666666666666667</v>
      </c>
      <c r="K22" s="162">
        <v>1</v>
      </c>
      <c r="L22" s="127">
        <f t="shared" si="8"/>
        <v>0.7</v>
      </c>
      <c r="M22" s="163">
        <v>1</v>
      </c>
      <c r="N22" s="129">
        <f t="shared" si="0"/>
        <v>0.7</v>
      </c>
      <c r="O22" s="130">
        <v>1.3</v>
      </c>
      <c r="P22" s="42">
        <f t="shared" si="1"/>
        <v>0.53846153846153844</v>
      </c>
      <c r="Q22" s="128">
        <v>1.2</v>
      </c>
      <c r="R22" s="42">
        <f t="shared" si="3"/>
        <v>0.58333333333333337</v>
      </c>
      <c r="S22" s="128">
        <v>1.9</v>
      </c>
      <c r="T22" s="42">
        <f t="shared" si="9"/>
        <v>0.36842105263157893</v>
      </c>
      <c r="U22" s="163">
        <v>2</v>
      </c>
      <c r="V22" s="43">
        <f t="shared" si="10"/>
        <v>0.35</v>
      </c>
      <c r="W22" s="126">
        <v>1.3</v>
      </c>
      <c r="X22" s="42">
        <f t="shared" si="11"/>
        <v>0.53846153846153844</v>
      </c>
      <c r="Y22" s="128">
        <v>1.3</v>
      </c>
      <c r="Z22" s="42">
        <f t="shared" si="12"/>
        <v>0.53846153846153844</v>
      </c>
      <c r="AA22" s="128">
        <v>1.9</v>
      </c>
      <c r="AB22" s="42">
        <f t="shared" si="2"/>
        <v>0.36842105263157893</v>
      </c>
      <c r="AC22" s="163">
        <v>2</v>
      </c>
      <c r="AD22" s="44">
        <f t="shared" si="13"/>
        <v>0.35</v>
      </c>
      <c r="AE22" s="130">
        <v>1.3</v>
      </c>
      <c r="AF22" s="42">
        <f t="shared" si="14"/>
        <v>0.53846153846153844</v>
      </c>
      <c r="AG22" s="128">
        <v>1.3</v>
      </c>
      <c r="AH22" s="42">
        <f t="shared" si="15"/>
        <v>0.53846153846153844</v>
      </c>
      <c r="AI22" s="128">
        <v>1.9</v>
      </c>
      <c r="AJ22" s="42">
        <f t="shared" si="16"/>
        <v>0.36842105263157893</v>
      </c>
      <c r="AK22" s="163">
        <v>2</v>
      </c>
      <c r="AL22" s="43">
        <f t="shared" si="17"/>
        <v>0.35</v>
      </c>
      <c r="AM22" s="126">
        <v>1.7</v>
      </c>
      <c r="AN22" s="42">
        <f t="shared" si="18"/>
        <v>0.41176470588235292</v>
      </c>
      <c r="AO22" s="128">
        <v>1.5</v>
      </c>
      <c r="AP22" s="44">
        <f t="shared" si="19"/>
        <v>0.46666666666666662</v>
      </c>
      <c r="AQ22" s="130">
        <v>1.7</v>
      </c>
      <c r="AR22" s="42">
        <f t="shared" si="20"/>
        <v>0.41176470588235292</v>
      </c>
      <c r="AS22" s="128">
        <v>1.5</v>
      </c>
      <c r="AT22" s="42">
        <f t="shared" si="21"/>
        <v>0.46666666666666662</v>
      </c>
    </row>
    <row r="23" spans="1:46" x14ac:dyDescent="0.75">
      <c r="A23" s="84" t="s">
        <v>177</v>
      </c>
      <c r="B23" s="95">
        <f>B5/450*1.5</f>
        <v>1.5</v>
      </c>
      <c r="C23" s="74">
        <v>0.4</v>
      </c>
      <c r="D23" s="7">
        <f t="shared" si="4"/>
        <v>3.75</v>
      </c>
      <c r="E23" s="16">
        <v>0.5</v>
      </c>
      <c r="F23" s="9">
        <f t="shared" si="5"/>
        <v>3</v>
      </c>
      <c r="G23" s="29">
        <v>0.9</v>
      </c>
      <c r="H23" s="17">
        <f t="shared" si="6"/>
        <v>1.6666666666666665</v>
      </c>
      <c r="I23" s="31">
        <v>1.2</v>
      </c>
      <c r="J23" s="156">
        <f t="shared" si="7"/>
        <v>1.25</v>
      </c>
      <c r="K23" s="164">
        <v>1.8</v>
      </c>
      <c r="L23" s="33">
        <f t="shared" si="8"/>
        <v>0.83333333333333326</v>
      </c>
      <c r="M23" s="165">
        <v>1.8</v>
      </c>
      <c r="N23" s="35">
        <f t="shared" si="0"/>
        <v>0.83333333333333326</v>
      </c>
      <c r="O23" s="18">
        <v>2.4</v>
      </c>
      <c r="P23" s="19">
        <f t="shared" si="1"/>
        <v>0.625</v>
      </c>
      <c r="Q23" s="20">
        <v>2.4</v>
      </c>
      <c r="R23" s="19">
        <f t="shared" si="3"/>
        <v>0.625</v>
      </c>
      <c r="S23" s="20">
        <v>2.6</v>
      </c>
      <c r="T23" s="19">
        <f t="shared" si="9"/>
        <v>0.57692307692307687</v>
      </c>
      <c r="U23" s="20">
        <v>2.8</v>
      </c>
      <c r="V23" s="36">
        <f t="shared" si="10"/>
        <v>0.5357142857142857</v>
      </c>
      <c r="W23" s="21">
        <v>2.4</v>
      </c>
      <c r="X23" s="19">
        <f t="shared" si="11"/>
        <v>0.625</v>
      </c>
      <c r="Y23" s="20">
        <v>2.4</v>
      </c>
      <c r="Z23" s="19">
        <f t="shared" si="12"/>
        <v>0.625</v>
      </c>
      <c r="AA23" s="20">
        <v>2.6</v>
      </c>
      <c r="AB23" s="19">
        <f t="shared" si="2"/>
        <v>0.57692307692307687</v>
      </c>
      <c r="AC23" s="20">
        <v>2.8</v>
      </c>
      <c r="AD23" s="37">
        <f t="shared" si="13"/>
        <v>0.5357142857142857</v>
      </c>
      <c r="AE23" s="18">
        <v>2.4</v>
      </c>
      <c r="AF23" s="19">
        <f t="shared" si="14"/>
        <v>0.625</v>
      </c>
      <c r="AG23" s="20">
        <v>2.4</v>
      </c>
      <c r="AH23" s="19">
        <f t="shared" si="15"/>
        <v>0.625</v>
      </c>
      <c r="AI23" s="20">
        <v>2.6</v>
      </c>
      <c r="AJ23" s="19">
        <f t="shared" si="16"/>
        <v>0.57692307692307687</v>
      </c>
      <c r="AK23" s="20">
        <v>2.8</v>
      </c>
      <c r="AL23" s="36">
        <f t="shared" si="17"/>
        <v>0.5357142857142857</v>
      </c>
      <c r="AM23" s="21">
        <v>2.4</v>
      </c>
      <c r="AN23" s="19">
        <f t="shared" si="18"/>
        <v>0.625</v>
      </c>
      <c r="AO23" s="20">
        <v>2.4</v>
      </c>
      <c r="AP23" s="37">
        <f t="shared" si="19"/>
        <v>0.625</v>
      </c>
      <c r="AQ23" s="18">
        <v>2.4</v>
      </c>
      <c r="AR23" s="19">
        <f t="shared" si="20"/>
        <v>0.625</v>
      </c>
      <c r="AS23" s="20">
        <v>2.4</v>
      </c>
      <c r="AT23" s="19">
        <f t="shared" si="21"/>
        <v>0.625</v>
      </c>
    </row>
    <row r="24" spans="1:46" x14ac:dyDescent="0.75">
      <c r="A24" s="85" t="s">
        <v>188</v>
      </c>
      <c r="B24" s="273">
        <f>B5/450*6</f>
        <v>6</v>
      </c>
      <c r="C24" s="283">
        <v>2</v>
      </c>
      <c r="D24" s="24">
        <f t="shared" si="4"/>
        <v>3</v>
      </c>
      <c r="E24" s="28">
        <v>4</v>
      </c>
      <c r="F24" s="23">
        <f t="shared" si="5"/>
        <v>1.5</v>
      </c>
      <c r="G24" s="38">
        <v>6</v>
      </c>
      <c r="H24" s="39">
        <f t="shared" si="6"/>
        <v>1</v>
      </c>
      <c r="I24" s="40">
        <v>8</v>
      </c>
      <c r="J24" s="41">
        <f t="shared" si="7"/>
        <v>0.75</v>
      </c>
      <c r="K24" s="160">
        <v>12</v>
      </c>
      <c r="L24" s="127">
        <f t="shared" si="8"/>
        <v>0.5</v>
      </c>
      <c r="M24" s="161">
        <v>12</v>
      </c>
      <c r="N24" s="129">
        <f t="shared" si="0"/>
        <v>0.5</v>
      </c>
      <c r="O24" s="130">
        <v>16</v>
      </c>
      <c r="P24" s="42">
        <f t="shared" si="1"/>
        <v>0.375</v>
      </c>
      <c r="Q24" s="128">
        <v>14</v>
      </c>
      <c r="R24" s="42">
        <f t="shared" si="3"/>
        <v>0.42857142857142855</v>
      </c>
      <c r="S24" s="128">
        <v>18</v>
      </c>
      <c r="T24" s="42">
        <f t="shared" si="9"/>
        <v>0.33333333333333331</v>
      </c>
      <c r="U24" s="128">
        <v>17</v>
      </c>
      <c r="V24" s="43">
        <f t="shared" si="10"/>
        <v>0.35294117647058826</v>
      </c>
      <c r="W24" s="126">
        <v>16</v>
      </c>
      <c r="X24" s="42">
        <f t="shared" si="11"/>
        <v>0.375</v>
      </c>
      <c r="Y24" s="128">
        <v>14</v>
      </c>
      <c r="Z24" s="42">
        <f t="shared" si="12"/>
        <v>0.42857142857142855</v>
      </c>
      <c r="AA24" s="128">
        <v>18</v>
      </c>
      <c r="AB24" s="42">
        <f t="shared" si="2"/>
        <v>0.33333333333333331</v>
      </c>
      <c r="AC24" s="128">
        <v>17</v>
      </c>
      <c r="AD24" s="44">
        <f t="shared" si="13"/>
        <v>0.35294117647058826</v>
      </c>
      <c r="AE24" s="130">
        <v>16</v>
      </c>
      <c r="AF24" s="42">
        <f t="shared" si="14"/>
        <v>0.375</v>
      </c>
      <c r="AG24" s="128">
        <v>14</v>
      </c>
      <c r="AH24" s="42">
        <f t="shared" si="15"/>
        <v>0.42857142857142855</v>
      </c>
      <c r="AI24" s="128">
        <v>18</v>
      </c>
      <c r="AJ24" s="42">
        <f t="shared" si="16"/>
        <v>0.33333333333333331</v>
      </c>
      <c r="AK24" s="128">
        <v>17</v>
      </c>
      <c r="AL24" s="43">
        <f t="shared" si="17"/>
        <v>0.35294117647058826</v>
      </c>
      <c r="AM24" s="126">
        <v>16</v>
      </c>
      <c r="AN24" s="42">
        <f t="shared" si="18"/>
        <v>0.375</v>
      </c>
      <c r="AO24" s="128">
        <v>14</v>
      </c>
      <c r="AP24" s="44">
        <f t="shared" si="19"/>
        <v>0.42857142857142855</v>
      </c>
      <c r="AQ24" s="130">
        <v>16</v>
      </c>
      <c r="AR24" s="42">
        <f t="shared" si="20"/>
        <v>0.375</v>
      </c>
      <c r="AS24" s="128">
        <v>14</v>
      </c>
      <c r="AT24" s="42">
        <f t="shared" si="21"/>
        <v>0.42857142857142855</v>
      </c>
    </row>
    <row r="25" spans="1:46" x14ac:dyDescent="0.75">
      <c r="A25" s="84" t="s">
        <v>189</v>
      </c>
      <c r="B25" s="272">
        <f>B5/450*100</f>
        <v>100</v>
      </c>
      <c r="C25" s="159">
        <v>65</v>
      </c>
      <c r="D25" s="7">
        <f t="shared" si="4"/>
        <v>1.5384615384615385</v>
      </c>
      <c r="E25" s="16">
        <v>80</v>
      </c>
      <c r="F25" s="9">
        <f t="shared" si="5"/>
        <v>1.25</v>
      </c>
      <c r="G25" s="29">
        <v>150</v>
      </c>
      <c r="H25" s="17">
        <f t="shared" si="6"/>
        <v>0.66666666666666663</v>
      </c>
      <c r="I25" s="31">
        <v>200</v>
      </c>
      <c r="J25" s="156">
        <f t="shared" si="7"/>
        <v>0.5</v>
      </c>
      <c r="K25" s="32">
        <v>300</v>
      </c>
      <c r="L25" s="33">
        <f t="shared" si="8"/>
        <v>0.33333333333333331</v>
      </c>
      <c r="M25" s="34">
        <v>300</v>
      </c>
      <c r="N25" s="35">
        <f t="shared" si="0"/>
        <v>0.33333333333333331</v>
      </c>
      <c r="O25" s="18">
        <v>400</v>
      </c>
      <c r="P25" s="19">
        <f t="shared" si="1"/>
        <v>0.25</v>
      </c>
      <c r="Q25" s="20">
        <v>400</v>
      </c>
      <c r="R25" s="19">
        <f t="shared" si="3"/>
        <v>0.25</v>
      </c>
      <c r="S25" s="20">
        <v>600</v>
      </c>
      <c r="T25" s="19">
        <f t="shared" si="9"/>
        <v>0.16666666666666666</v>
      </c>
      <c r="U25" s="20">
        <v>500</v>
      </c>
      <c r="V25" s="36">
        <f t="shared" si="10"/>
        <v>0.2</v>
      </c>
      <c r="W25" s="21">
        <v>400</v>
      </c>
      <c r="X25" s="19">
        <f t="shared" si="11"/>
        <v>0.25</v>
      </c>
      <c r="Y25" s="20">
        <v>400</v>
      </c>
      <c r="Z25" s="19">
        <f t="shared" si="12"/>
        <v>0.25</v>
      </c>
      <c r="AA25" s="20">
        <v>600</v>
      </c>
      <c r="AB25" s="19">
        <f t="shared" si="2"/>
        <v>0.16666666666666666</v>
      </c>
      <c r="AC25" s="20">
        <v>500</v>
      </c>
      <c r="AD25" s="37">
        <f t="shared" si="13"/>
        <v>0.2</v>
      </c>
      <c r="AE25" s="18">
        <v>400</v>
      </c>
      <c r="AF25" s="19">
        <f t="shared" si="14"/>
        <v>0.25</v>
      </c>
      <c r="AG25" s="20">
        <v>400</v>
      </c>
      <c r="AH25" s="19">
        <f t="shared" si="15"/>
        <v>0.25</v>
      </c>
      <c r="AI25" s="20">
        <v>600</v>
      </c>
      <c r="AJ25" s="19">
        <f t="shared" si="16"/>
        <v>0.16666666666666666</v>
      </c>
      <c r="AK25" s="20">
        <v>500</v>
      </c>
      <c r="AL25" s="36">
        <f t="shared" si="17"/>
        <v>0.2</v>
      </c>
      <c r="AM25" s="21">
        <v>400</v>
      </c>
      <c r="AN25" s="19">
        <f t="shared" si="18"/>
        <v>0.25</v>
      </c>
      <c r="AO25" s="20">
        <v>400</v>
      </c>
      <c r="AP25" s="37">
        <f t="shared" si="19"/>
        <v>0.25</v>
      </c>
      <c r="AQ25" s="18">
        <v>400</v>
      </c>
      <c r="AR25" s="19">
        <f t="shared" si="20"/>
        <v>0.25</v>
      </c>
      <c r="AS25" s="20">
        <v>400</v>
      </c>
      <c r="AT25" s="19">
        <f t="shared" si="21"/>
        <v>0.25</v>
      </c>
    </row>
    <row r="26" spans="1:46" x14ac:dyDescent="0.75">
      <c r="A26" s="85" t="s">
        <v>190</v>
      </c>
      <c r="B26" s="273">
        <f>B5/450*2.9</f>
        <v>2.9</v>
      </c>
      <c r="C26" s="75">
        <v>1.7</v>
      </c>
      <c r="D26" s="24">
        <f t="shared" si="4"/>
        <v>1.7058823529411764</v>
      </c>
      <c r="E26" s="28">
        <v>1.8</v>
      </c>
      <c r="F26" s="23">
        <f t="shared" si="5"/>
        <v>1.6111111111111109</v>
      </c>
      <c r="G26" s="38">
        <v>2</v>
      </c>
      <c r="H26" s="39">
        <f t="shared" si="6"/>
        <v>1.45</v>
      </c>
      <c r="I26" s="40">
        <v>3</v>
      </c>
      <c r="J26" s="41">
        <f t="shared" si="7"/>
        <v>0.96666666666666667</v>
      </c>
      <c r="K26" s="160">
        <v>4</v>
      </c>
      <c r="L26" s="127">
        <f t="shared" si="8"/>
        <v>0.72499999999999998</v>
      </c>
      <c r="M26" s="161">
        <v>4</v>
      </c>
      <c r="N26" s="129">
        <f t="shared" si="0"/>
        <v>0.72499999999999998</v>
      </c>
      <c r="O26" s="130">
        <v>5</v>
      </c>
      <c r="P26" s="42">
        <f t="shared" si="1"/>
        <v>0.57999999999999996</v>
      </c>
      <c r="Q26" s="128">
        <v>5</v>
      </c>
      <c r="R26" s="42">
        <f t="shared" si="3"/>
        <v>0.57999999999999996</v>
      </c>
      <c r="S26" s="128">
        <v>6</v>
      </c>
      <c r="T26" s="42">
        <f t="shared" si="9"/>
        <v>0.48333333333333334</v>
      </c>
      <c r="U26" s="128">
        <v>7</v>
      </c>
      <c r="V26" s="43">
        <f t="shared" si="10"/>
        <v>0.41428571428571426</v>
      </c>
      <c r="W26" s="126">
        <v>5</v>
      </c>
      <c r="X26" s="42">
        <f t="shared" si="11"/>
        <v>0.57999999999999996</v>
      </c>
      <c r="Y26" s="128">
        <v>5</v>
      </c>
      <c r="Z26" s="42">
        <f t="shared" si="12"/>
        <v>0.57999999999999996</v>
      </c>
      <c r="AA26" s="128">
        <v>6</v>
      </c>
      <c r="AB26" s="42">
        <f t="shared" si="2"/>
        <v>0.48333333333333334</v>
      </c>
      <c r="AC26" s="128">
        <v>7</v>
      </c>
      <c r="AD26" s="44">
        <f t="shared" si="13"/>
        <v>0.41428571428571426</v>
      </c>
      <c r="AE26" s="130">
        <v>5</v>
      </c>
      <c r="AF26" s="42">
        <f t="shared" si="14"/>
        <v>0.57999999999999996</v>
      </c>
      <c r="AG26" s="128">
        <v>5</v>
      </c>
      <c r="AH26" s="42">
        <f t="shared" si="15"/>
        <v>0.57999999999999996</v>
      </c>
      <c r="AI26" s="128">
        <v>6</v>
      </c>
      <c r="AJ26" s="42">
        <f t="shared" si="16"/>
        <v>0.48333333333333334</v>
      </c>
      <c r="AK26" s="128">
        <v>7</v>
      </c>
      <c r="AL26" s="43">
        <f t="shared" si="17"/>
        <v>0.41428571428571426</v>
      </c>
      <c r="AM26" s="126">
        <v>5</v>
      </c>
      <c r="AN26" s="42">
        <f t="shared" si="18"/>
        <v>0.57999999999999996</v>
      </c>
      <c r="AO26" s="128">
        <v>5</v>
      </c>
      <c r="AP26" s="44">
        <f t="shared" si="19"/>
        <v>0.57999999999999996</v>
      </c>
      <c r="AQ26" s="130">
        <v>5</v>
      </c>
      <c r="AR26" s="42">
        <f t="shared" si="20"/>
        <v>0.57999999999999996</v>
      </c>
      <c r="AS26" s="128">
        <v>5</v>
      </c>
      <c r="AT26" s="42">
        <f t="shared" si="21"/>
        <v>0.57999999999999996</v>
      </c>
    </row>
    <row r="27" spans="1:46" x14ac:dyDescent="0.75">
      <c r="A27" s="84" t="s">
        <v>178</v>
      </c>
      <c r="B27" s="272">
        <f>B5/450*19</f>
        <v>19</v>
      </c>
      <c r="C27" s="282">
        <v>5</v>
      </c>
      <c r="D27" s="7">
        <f t="shared" si="4"/>
        <v>3.8</v>
      </c>
      <c r="E27" s="16">
        <v>6</v>
      </c>
      <c r="F27" s="9">
        <f t="shared" si="5"/>
        <v>3.1666666666666665</v>
      </c>
      <c r="G27" s="29">
        <v>8</v>
      </c>
      <c r="H27" s="30">
        <f t="shared" si="6"/>
        <v>2.375</v>
      </c>
      <c r="I27" s="31">
        <v>12</v>
      </c>
      <c r="J27" s="64">
        <f t="shared" si="7"/>
        <v>1.5833333333333333</v>
      </c>
      <c r="K27" s="32">
        <v>20</v>
      </c>
      <c r="L27" s="33">
        <f t="shared" si="8"/>
        <v>0.95</v>
      </c>
      <c r="M27" s="34">
        <v>20</v>
      </c>
      <c r="N27" s="35">
        <f t="shared" si="0"/>
        <v>0.95</v>
      </c>
      <c r="O27" s="18">
        <v>25</v>
      </c>
      <c r="P27" s="19">
        <f t="shared" si="1"/>
        <v>0.76</v>
      </c>
      <c r="Q27" s="20">
        <v>25</v>
      </c>
      <c r="R27" s="19">
        <f t="shared" si="3"/>
        <v>0.76</v>
      </c>
      <c r="S27" s="20">
        <v>30</v>
      </c>
      <c r="T27" s="19">
        <f t="shared" si="9"/>
        <v>0.6333333333333333</v>
      </c>
      <c r="U27" s="20">
        <v>35</v>
      </c>
      <c r="V27" s="36">
        <f t="shared" si="10"/>
        <v>0.54285714285714282</v>
      </c>
      <c r="W27" s="21">
        <v>30</v>
      </c>
      <c r="X27" s="19">
        <f t="shared" si="11"/>
        <v>0.6333333333333333</v>
      </c>
      <c r="Y27" s="20">
        <v>30</v>
      </c>
      <c r="Z27" s="19">
        <f t="shared" si="12"/>
        <v>0.6333333333333333</v>
      </c>
      <c r="AA27" s="20">
        <v>30</v>
      </c>
      <c r="AB27" s="19">
        <f t="shared" si="2"/>
        <v>0.6333333333333333</v>
      </c>
      <c r="AC27" s="20">
        <v>35</v>
      </c>
      <c r="AD27" s="37">
        <f t="shared" si="13"/>
        <v>0.54285714285714282</v>
      </c>
      <c r="AE27" s="18">
        <v>30</v>
      </c>
      <c r="AF27" s="19">
        <f t="shared" si="14"/>
        <v>0.6333333333333333</v>
      </c>
      <c r="AG27" s="20">
        <v>30</v>
      </c>
      <c r="AH27" s="19">
        <f t="shared" si="15"/>
        <v>0.6333333333333333</v>
      </c>
      <c r="AI27" s="20">
        <v>30</v>
      </c>
      <c r="AJ27" s="19">
        <f t="shared" si="16"/>
        <v>0.6333333333333333</v>
      </c>
      <c r="AK27" s="20">
        <v>35</v>
      </c>
      <c r="AL27" s="36">
        <f t="shared" si="17"/>
        <v>0.54285714285714282</v>
      </c>
      <c r="AM27" s="21">
        <v>30</v>
      </c>
      <c r="AN27" s="19">
        <f t="shared" si="18"/>
        <v>0.6333333333333333</v>
      </c>
      <c r="AO27" s="20">
        <v>30</v>
      </c>
      <c r="AP27" s="37">
        <f t="shared" si="19"/>
        <v>0.6333333333333333</v>
      </c>
      <c r="AQ27" s="18">
        <v>30</v>
      </c>
      <c r="AR27" s="19">
        <f t="shared" si="20"/>
        <v>0.6333333333333333</v>
      </c>
      <c r="AS27" s="20">
        <v>30</v>
      </c>
      <c r="AT27" s="19">
        <f t="shared" si="21"/>
        <v>0.6333333333333333</v>
      </c>
    </row>
    <row r="28" spans="1:46" x14ac:dyDescent="0.75">
      <c r="A28" s="85" t="s">
        <v>174</v>
      </c>
      <c r="B28" s="274">
        <f>B5/450*135</f>
        <v>135</v>
      </c>
      <c r="C28" s="284">
        <v>40</v>
      </c>
      <c r="D28" s="24">
        <f t="shared" si="4"/>
        <v>3.375</v>
      </c>
      <c r="E28" s="28">
        <v>50</v>
      </c>
      <c r="F28" s="23">
        <f t="shared" si="5"/>
        <v>2.7</v>
      </c>
      <c r="G28" s="38">
        <v>15</v>
      </c>
      <c r="H28" s="39">
        <f t="shared" si="6"/>
        <v>9</v>
      </c>
      <c r="I28" s="40">
        <v>25</v>
      </c>
      <c r="J28" s="41">
        <f t="shared" si="7"/>
        <v>5.4</v>
      </c>
      <c r="K28" s="160">
        <v>45</v>
      </c>
      <c r="L28" s="127">
        <f t="shared" si="8"/>
        <v>3</v>
      </c>
      <c r="M28" s="161">
        <v>45</v>
      </c>
      <c r="N28" s="129">
        <f t="shared" si="0"/>
        <v>3</v>
      </c>
      <c r="O28" s="130">
        <v>75</v>
      </c>
      <c r="P28" s="42">
        <f t="shared" si="1"/>
        <v>1.8</v>
      </c>
      <c r="Q28" s="128">
        <v>65</v>
      </c>
      <c r="R28" s="42">
        <f t="shared" si="3"/>
        <v>2.0769230769230771</v>
      </c>
      <c r="S28" s="128">
        <v>80</v>
      </c>
      <c r="T28" s="42">
        <f t="shared" si="9"/>
        <v>1.6875</v>
      </c>
      <c r="U28" s="128">
        <v>115</v>
      </c>
      <c r="V28" s="43">
        <f t="shared" si="10"/>
        <v>1.173913043478261</v>
      </c>
      <c r="W28" s="126">
        <v>90</v>
      </c>
      <c r="X28" s="42">
        <f t="shared" si="11"/>
        <v>1.5</v>
      </c>
      <c r="Y28" s="128">
        <v>75</v>
      </c>
      <c r="Z28" s="42">
        <f t="shared" si="12"/>
        <v>1.8</v>
      </c>
      <c r="AA28" s="128">
        <v>85</v>
      </c>
      <c r="AB28" s="42">
        <f t="shared" si="2"/>
        <v>1.588235294117647</v>
      </c>
      <c r="AC28" s="128">
        <v>120</v>
      </c>
      <c r="AD28" s="44">
        <f t="shared" si="13"/>
        <v>1.125</v>
      </c>
      <c r="AE28" s="130">
        <v>90</v>
      </c>
      <c r="AF28" s="42">
        <f t="shared" si="14"/>
        <v>1.5</v>
      </c>
      <c r="AG28" s="128">
        <v>75</v>
      </c>
      <c r="AH28" s="42">
        <f t="shared" si="15"/>
        <v>1.8</v>
      </c>
      <c r="AI28" s="128">
        <v>85</v>
      </c>
      <c r="AJ28" s="42">
        <f t="shared" si="16"/>
        <v>1.588235294117647</v>
      </c>
      <c r="AK28" s="128">
        <v>120</v>
      </c>
      <c r="AL28" s="43">
        <f t="shared" si="17"/>
        <v>1.125</v>
      </c>
      <c r="AM28" s="126">
        <v>90</v>
      </c>
      <c r="AN28" s="42">
        <f t="shared" si="18"/>
        <v>1.5</v>
      </c>
      <c r="AO28" s="128">
        <v>425</v>
      </c>
      <c r="AP28" s="44">
        <f t="shared" si="19"/>
        <v>0.31764705882352939</v>
      </c>
      <c r="AQ28" s="130">
        <v>90</v>
      </c>
      <c r="AR28" s="42">
        <f t="shared" si="20"/>
        <v>1.5</v>
      </c>
      <c r="AS28" s="128">
        <v>75</v>
      </c>
      <c r="AT28" s="42">
        <f t="shared" si="21"/>
        <v>1.8</v>
      </c>
    </row>
    <row r="29" spans="1:46" x14ac:dyDescent="0.75">
      <c r="A29" s="84" t="s">
        <v>85</v>
      </c>
      <c r="B29" s="272">
        <f>B5/450*67</f>
        <v>67</v>
      </c>
      <c r="C29" s="285">
        <v>125</v>
      </c>
      <c r="D29" s="7">
        <f t="shared" si="4"/>
        <v>0.53600000000000003</v>
      </c>
      <c r="E29" s="16">
        <v>150</v>
      </c>
      <c r="F29" s="9">
        <f t="shared" si="5"/>
        <v>0.44666666666666666</v>
      </c>
      <c r="G29" s="45">
        <v>200</v>
      </c>
      <c r="H29" s="30">
        <f t="shared" si="6"/>
        <v>0.33500000000000002</v>
      </c>
      <c r="I29" s="46">
        <v>250</v>
      </c>
      <c r="J29" s="64">
        <f t="shared" si="7"/>
        <v>0.26800000000000002</v>
      </c>
      <c r="K29" s="32">
        <v>375</v>
      </c>
      <c r="L29" s="33">
        <f t="shared" si="8"/>
        <v>0.17866666666666667</v>
      </c>
      <c r="M29" s="34">
        <v>375</v>
      </c>
      <c r="N29" s="35">
        <f t="shared" si="0"/>
        <v>0.17866666666666667</v>
      </c>
      <c r="O29" s="18">
        <v>550</v>
      </c>
      <c r="P29" s="19">
        <f t="shared" si="1"/>
        <v>0.12181818181818181</v>
      </c>
      <c r="Q29" s="20">
        <v>400</v>
      </c>
      <c r="R29" s="19">
        <f t="shared" si="3"/>
        <v>0.16750000000000001</v>
      </c>
      <c r="S29" s="20">
        <v>450</v>
      </c>
      <c r="T29" s="19">
        <f t="shared" si="9"/>
        <v>0.14888888888888888</v>
      </c>
      <c r="U29" s="20">
        <v>550</v>
      </c>
      <c r="V29" s="36">
        <f t="shared" si="10"/>
        <v>0.12181818181818181</v>
      </c>
      <c r="W29" s="21">
        <v>550</v>
      </c>
      <c r="X29" s="19">
        <f t="shared" si="11"/>
        <v>0.12181818181818181</v>
      </c>
      <c r="Y29" s="20">
        <v>425</v>
      </c>
      <c r="Z29" s="19">
        <f t="shared" si="12"/>
        <v>0.15764705882352942</v>
      </c>
      <c r="AA29" s="20">
        <v>450</v>
      </c>
      <c r="AB29" s="19">
        <f t="shared" si="2"/>
        <v>0.14888888888888888</v>
      </c>
      <c r="AC29" s="20">
        <v>550</v>
      </c>
      <c r="AD29" s="37">
        <f t="shared" si="13"/>
        <v>0.12181818181818181</v>
      </c>
      <c r="AE29" s="18">
        <v>550</v>
      </c>
      <c r="AF29" s="19">
        <f t="shared" si="14"/>
        <v>0.12181818181818181</v>
      </c>
      <c r="AG29" s="20">
        <v>425</v>
      </c>
      <c r="AH29" s="19">
        <f t="shared" si="15"/>
        <v>0.15764705882352942</v>
      </c>
      <c r="AI29" s="20">
        <v>450</v>
      </c>
      <c r="AJ29" s="19">
        <f t="shared" si="16"/>
        <v>0.14888888888888888</v>
      </c>
      <c r="AK29" s="20">
        <v>550</v>
      </c>
      <c r="AL29" s="36">
        <f t="shared" si="17"/>
        <v>0.12181818181818181</v>
      </c>
      <c r="AM29" s="21">
        <v>550</v>
      </c>
      <c r="AN29" s="19">
        <f t="shared" si="18"/>
        <v>0.12181818181818181</v>
      </c>
      <c r="AO29" s="20">
        <v>425</v>
      </c>
      <c r="AP29" s="37">
        <f t="shared" si="19"/>
        <v>0.15764705882352942</v>
      </c>
      <c r="AQ29" s="18">
        <v>550</v>
      </c>
      <c r="AR29" s="19">
        <f t="shared" si="20"/>
        <v>0.12181818181818181</v>
      </c>
      <c r="AS29" s="20">
        <v>425</v>
      </c>
      <c r="AT29" s="19">
        <f t="shared" si="21"/>
        <v>0.15764705882352942</v>
      </c>
    </row>
    <row r="30" spans="1:46" ht="15.5" thickBot="1" x14ac:dyDescent="0.9">
      <c r="A30" s="86" t="s">
        <v>86</v>
      </c>
      <c r="B30" s="275">
        <f>B5/450*60</f>
        <v>60</v>
      </c>
      <c r="C30" s="47" t="s">
        <v>87</v>
      </c>
      <c r="D30" s="48"/>
      <c r="E30" s="49" t="s">
        <v>87</v>
      </c>
      <c r="F30" s="50"/>
      <c r="G30" s="51" t="s">
        <v>87</v>
      </c>
      <c r="H30" s="52"/>
      <c r="I30" s="51" t="s">
        <v>87</v>
      </c>
      <c r="J30" s="50"/>
      <c r="K30" s="166" t="s">
        <v>87</v>
      </c>
      <c r="L30" s="167"/>
      <c r="M30" s="168" t="s">
        <v>87</v>
      </c>
      <c r="N30" s="169"/>
      <c r="O30" s="170" t="s">
        <v>87</v>
      </c>
      <c r="P30" s="53"/>
      <c r="Q30" s="171" t="s">
        <v>87</v>
      </c>
      <c r="R30" s="53"/>
      <c r="S30" s="171" t="s">
        <v>87</v>
      </c>
      <c r="T30" s="53"/>
      <c r="U30" s="171" t="s">
        <v>87</v>
      </c>
      <c r="V30" s="54"/>
      <c r="W30" s="172" t="s">
        <v>87</v>
      </c>
      <c r="X30" s="53"/>
      <c r="Y30" s="171" t="s">
        <v>87</v>
      </c>
      <c r="Z30" s="167"/>
      <c r="AA30" s="171" t="s">
        <v>87</v>
      </c>
      <c r="AB30" s="53"/>
      <c r="AC30" s="171" t="s">
        <v>87</v>
      </c>
      <c r="AD30" s="55"/>
      <c r="AE30" s="170" t="s">
        <v>87</v>
      </c>
      <c r="AF30" s="53"/>
      <c r="AG30" s="171" t="s">
        <v>87</v>
      </c>
      <c r="AH30" s="53"/>
      <c r="AI30" s="171" t="s">
        <v>87</v>
      </c>
      <c r="AJ30" s="53"/>
      <c r="AK30" s="171" t="s">
        <v>87</v>
      </c>
      <c r="AL30" s="54"/>
      <c r="AM30" s="172" t="s">
        <v>87</v>
      </c>
      <c r="AN30" s="53"/>
      <c r="AO30" s="171" t="s">
        <v>87</v>
      </c>
      <c r="AP30" s="55"/>
      <c r="AQ30" s="170" t="s">
        <v>87</v>
      </c>
      <c r="AR30" s="53"/>
      <c r="AS30" s="171" t="s">
        <v>87</v>
      </c>
      <c r="AT30" s="53"/>
    </row>
    <row r="31" spans="1:46" ht="40.5" thickBot="1" x14ac:dyDescent="0.9">
      <c r="A31" s="309" t="s">
        <v>88</v>
      </c>
      <c r="B31" s="310"/>
      <c r="C31" s="261" t="s">
        <v>159</v>
      </c>
      <c r="D31" s="262" t="s">
        <v>160</v>
      </c>
      <c r="E31" s="263" t="s">
        <v>161</v>
      </c>
      <c r="F31" s="262" t="s">
        <v>164</v>
      </c>
      <c r="G31" s="134" t="s">
        <v>45</v>
      </c>
      <c r="H31" s="135" t="s">
        <v>46</v>
      </c>
      <c r="I31" s="132" t="s">
        <v>47</v>
      </c>
      <c r="J31" s="133" t="s">
        <v>48</v>
      </c>
      <c r="K31" s="136" t="s">
        <v>49</v>
      </c>
      <c r="L31" s="137" t="s">
        <v>50</v>
      </c>
      <c r="M31" s="138" t="s">
        <v>51</v>
      </c>
      <c r="N31" s="139" t="s">
        <v>52</v>
      </c>
      <c r="O31" s="173" t="s">
        <v>53</v>
      </c>
      <c r="P31" s="174" t="s">
        <v>54</v>
      </c>
      <c r="Q31" s="138" t="s">
        <v>55</v>
      </c>
      <c r="R31" s="142" t="s">
        <v>56</v>
      </c>
      <c r="S31" s="131" t="s">
        <v>57</v>
      </c>
      <c r="T31" s="137" t="s">
        <v>58</v>
      </c>
      <c r="U31" s="138" t="s">
        <v>59</v>
      </c>
      <c r="V31" s="133" t="s">
        <v>60</v>
      </c>
      <c r="W31" s="143" t="s">
        <v>61</v>
      </c>
      <c r="X31" s="141" t="s">
        <v>62</v>
      </c>
      <c r="Y31" s="138" t="s">
        <v>63</v>
      </c>
      <c r="Z31" s="142" t="s">
        <v>64</v>
      </c>
      <c r="AA31" s="131" t="s">
        <v>65</v>
      </c>
      <c r="AB31" s="137" t="s">
        <v>66</v>
      </c>
      <c r="AC31" s="138" t="s">
        <v>67</v>
      </c>
      <c r="AD31" s="139" t="s">
        <v>68</v>
      </c>
      <c r="AE31" s="140" t="s">
        <v>69</v>
      </c>
      <c r="AF31" s="141" t="s">
        <v>70</v>
      </c>
      <c r="AG31" s="138" t="s">
        <v>71</v>
      </c>
      <c r="AH31" s="142" t="s">
        <v>72</v>
      </c>
      <c r="AI31" s="131" t="s">
        <v>89</v>
      </c>
      <c r="AJ31" s="137" t="s">
        <v>90</v>
      </c>
      <c r="AK31" s="138" t="s">
        <v>75</v>
      </c>
      <c r="AL31" s="133" t="s">
        <v>91</v>
      </c>
      <c r="AM31" s="143" t="s">
        <v>77</v>
      </c>
      <c r="AN31" s="141" t="s">
        <v>78</v>
      </c>
      <c r="AO31" s="138" t="s">
        <v>79</v>
      </c>
      <c r="AP31" s="139" t="s">
        <v>80</v>
      </c>
      <c r="AQ31" s="140" t="s">
        <v>81</v>
      </c>
      <c r="AR31" s="141" t="s">
        <v>82</v>
      </c>
      <c r="AS31" s="138" t="s">
        <v>83</v>
      </c>
      <c r="AT31" s="142" t="s">
        <v>84</v>
      </c>
    </row>
    <row r="32" spans="1:46" x14ac:dyDescent="0.75">
      <c r="A32" s="83" t="s">
        <v>92</v>
      </c>
      <c r="B32" s="270">
        <f>B5/450*491</f>
        <v>491</v>
      </c>
      <c r="C32" s="281">
        <v>200</v>
      </c>
      <c r="D32" s="24">
        <f t="shared" ref="D32:D45" si="22">B32/C32</f>
        <v>2.4550000000000001</v>
      </c>
      <c r="E32" s="56">
        <v>260</v>
      </c>
      <c r="F32" s="23">
        <f t="shared" ref="F32:F45" si="23">B32/E32</f>
        <v>1.8884615384615384</v>
      </c>
      <c r="G32" s="175">
        <v>700</v>
      </c>
      <c r="H32" s="176">
        <f t="shared" ref="H32:H45" si="24">B32/G32</f>
        <v>0.7014285714285714</v>
      </c>
      <c r="I32" s="175">
        <v>1000</v>
      </c>
      <c r="J32" s="177">
        <f t="shared" ref="J32:J45" si="25">B32/I32</f>
        <v>0.49099999999999999</v>
      </c>
      <c r="K32" s="178">
        <v>1300</v>
      </c>
      <c r="L32" s="179">
        <f t="shared" ref="L32:L45" si="26">B32/K32</f>
        <v>0.37769230769230772</v>
      </c>
      <c r="M32" s="180">
        <v>1300</v>
      </c>
      <c r="N32" s="181">
        <f t="shared" ref="N32:N45" si="27">B32/M32</f>
        <v>0.37769230769230772</v>
      </c>
      <c r="O32" s="149">
        <v>1300</v>
      </c>
      <c r="P32" s="150">
        <f t="shared" ref="P32:P44" si="28">B32/O32</f>
        <v>0.37769230769230772</v>
      </c>
      <c r="Q32" s="151">
        <v>1300</v>
      </c>
      <c r="R32" s="150">
        <f t="shared" ref="R32:R45" si="29">B32/Q32</f>
        <v>0.37769230769230772</v>
      </c>
      <c r="S32" s="151">
        <v>1300</v>
      </c>
      <c r="T32" s="150">
        <f t="shared" ref="T32:T44" si="30">B32/S32</f>
        <v>0.37769230769230772</v>
      </c>
      <c r="U32" s="151">
        <v>1300</v>
      </c>
      <c r="V32" s="152">
        <f t="shared" ref="V32:V44" si="31">B32/U32</f>
        <v>0.37769230769230772</v>
      </c>
      <c r="W32" s="153">
        <v>1000</v>
      </c>
      <c r="X32" s="150">
        <f t="shared" ref="X32:X45" si="32">B32/W32</f>
        <v>0.49099999999999999</v>
      </c>
      <c r="Y32" s="151">
        <v>1000</v>
      </c>
      <c r="Z32" s="150">
        <f t="shared" ref="Z32:Z45" si="33">B32/Y32</f>
        <v>0.49099999999999999</v>
      </c>
      <c r="AA32" s="151">
        <v>1000</v>
      </c>
      <c r="AB32" s="150">
        <f t="shared" ref="AB32:AB44" si="34">B32/AA32</f>
        <v>0.49099999999999999</v>
      </c>
      <c r="AC32" s="151">
        <v>1000</v>
      </c>
      <c r="AD32" s="154">
        <f t="shared" ref="AD32:AD45" si="35">B32/AC32</f>
        <v>0.49099999999999999</v>
      </c>
      <c r="AE32" s="149">
        <v>1000</v>
      </c>
      <c r="AF32" s="150">
        <f t="shared" ref="AF32:AF44" si="36">B32/AE32</f>
        <v>0.49099999999999999</v>
      </c>
      <c r="AG32" s="151">
        <v>1000</v>
      </c>
      <c r="AH32" s="150">
        <f t="shared" ref="AH32:AH45" si="37">B32/AG32</f>
        <v>0.49099999999999999</v>
      </c>
      <c r="AI32" s="151">
        <v>1000</v>
      </c>
      <c r="AJ32" s="150">
        <f t="shared" ref="AJ32:AJ45" si="38">B32/AI32</f>
        <v>0.49099999999999999</v>
      </c>
      <c r="AK32" s="151">
        <v>1000</v>
      </c>
      <c r="AL32" s="152">
        <f t="shared" ref="AL32:AL45" si="39">B32/AK32</f>
        <v>0.49099999999999999</v>
      </c>
      <c r="AM32" s="153">
        <v>1000</v>
      </c>
      <c r="AN32" s="150">
        <f t="shared" ref="AN32:AN45" si="40">B32/AM32</f>
        <v>0.49099999999999999</v>
      </c>
      <c r="AO32" s="151">
        <v>1200</v>
      </c>
      <c r="AP32" s="154">
        <f t="shared" ref="AP32:AP45" si="41">B32/AO32</f>
        <v>0.40916666666666668</v>
      </c>
      <c r="AQ32" s="149">
        <v>1200</v>
      </c>
      <c r="AR32" s="150">
        <f t="shared" ref="AR32:AR45" si="42">B32/AQ32</f>
        <v>0.40916666666666668</v>
      </c>
      <c r="AS32" s="151">
        <v>1200</v>
      </c>
      <c r="AT32" s="150">
        <f t="shared" ref="AT32:AT45" si="43">B32/AS32</f>
        <v>0.40916666666666668</v>
      </c>
    </row>
    <row r="33" spans="1:49" x14ac:dyDescent="0.75">
      <c r="A33" s="84" t="s">
        <v>93</v>
      </c>
      <c r="B33" s="272">
        <f>B5/450*359</f>
        <v>359</v>
      </c>
      <c r="C33" s="159">
        <v>100</v>
      </c>
      <c r="D33" s="7">
        <f t="shared" si="22"/>
        <v>3.59</v>
      </c>
      <c r="E33" s="57">
        <v>275</v>
      </c>
      <c r="F33" s="9">
        <f t="shared" si="23"/>
        <v>1.3054545454545454</v>
      </c>
      <c r="G33" s="60">
        <v>460</v>
      </c>
      <c r="H33" s="30">
        <f t="shared" si="24"/>
        <v>0.7804347826086957</v>
      </c>
      <c r="I33" s="60">
        <v>500</v>
      </c>
      <c r="J33" s="156">
        <f t="shared" si="25"/>
        <v>0.71799999999999997</v>
      </c>
      <c r="K33" s="32">
        <v>1250</v>
      </c>
      <c r="L33" s="182">
        <f t="shared" si="26"/>
        <v>0.28720000000000001</v>
      </c>
      <c r="M33" s="34">
        <v>1250</v>
      </c>
      <c r="N33" s="183">
        <f t="shared" si="27"/>
        <v>0.28720000000000001</v>
      </c>
      <c r="O33" s="18">
        <v>1250</v>
      </c>
      <c r="P33" s="19">
        <f t="shared" si="28"/>
        <v>0.28720000000000001</v>
      </c>
      <c r="Q33" s="20">
        <v>1250</v>
      </c>
      <c r="R33" s="19">
        <f t="shared" si="29"/>
        <v>0.28720000000000001</v>
      </c>
      <c r="S33" s="20">
        <v>1250</v>
      </c>
      <c r="T33" s="19">
        <f t="shared" si="30"/>
        <v>0.28720000000000001</v>
      </c>
      <c r="U33" s="20">
        <v>1250</v>
      </c>
      <c r="V33" s="36">
        <f t="shared" si="31"/>
        <v>0.28720000000000001</v>
      </c>
      <c r="W33" s="21">
        <v>700</v>
      </c>
      <c r="X33" s="19">
        <f t="shared" si="32"/>
        <v>0.5128571428571429</v>
      </c>
      <c r="Y33" s="20">
        <v>700</v>
      </c>
      <c r="Z33" s="19">
        <f t="shared" si="33"/>
        <v>0.5128571428571429</v>
      </c>
      <c r="AA33" s="20">
        <v>700</v>
      </c>
      <c r="AB33" s="19">
        <f t="shared" si="34"/>
        <v>0.5128571428571429</v>
      </c>
      <c r="AC33" s="20">
        <v>700</v>
      </c>
      <c r="AD33" s="37">
        <f t="shared" si="35"/>
        <v>0.5128571428571429</v>
      </c>
      <c r="AE33" s="18">
        <v>700</v>
      </c>
      <c r="AF33" s="19">
        <f t="shared" si="36"/>
        <v>0.5128571428571429</v>
      </c>
      <c r="AG33" s="20">
        <v>700</v>
      </c>
      <c r="AH33" s="19">
        <f t="shared" si="37"/>
        <v>0.5128571428571429</v>
      </c>
      <c r="AI33" s="20">
        <v>700</v>
      </c>
      <c r="AJ33" s="19">
        <f t="shared" si="38"/>
        <v>0.5128571428571429</v>
      </c>
      <c r="AK33" s="20">
        <v>700</v>
      </c>
      <c r="AL33" s="36">
        <f t="shared" si="39"/>
        <v>0.5128571428571429</v>
      </c>
      <c r="AM33" s="21">
        <v>700</v>
      </c>
      <c r="AN33" s="19">
        <f t="shared" si="40"/>
        <v>0.5128571428571429</v>
      </c>
      <c r="AO33" s="20">
        <v>700</v>
      </c>
      <c r="AP33" s="37">
        <f t="shared" si="41"/>
        <v>0.5128571428571429</v>
      </c>
      <c r="AQ33" s="18">
        <v>700</v>
      </c>
      <c r="AR33" s="19">
        <f t="shared" si="42"/>
        <v>0.5128571428571429</v>
      </c>
      <c r="AS33" s="20">
        <v>700</v>
      </c>
      <c r="AT33" s="19">
        <f t="shared" si="43"/>
        <v>0.5128571428571429</v>
      </c>
    </row>
    <row r="34" spans="1:49" x14ac:dyDescent="0.75">
      <c r="A34" s="85" t="s">
        <v>94</v>
      </c>
      <c r="B34" s="274">
        <f>B5/450*57</f>
        <v>57</v>
      </c>
      <c r="C34" s="284">
        <v>30</v>
      </c>
      <c r="D34" s="24">
        <f t="shared" si="22"/>
        <v>1.9</v>
      </c>
      <c r="E34" s="58">
        <v>75</v>
      </c>
      <c r="F34" s="23">
        <f t="shared" si="23"/>
        <v>0.76</v>
      </c>
      <c r="G34" s="184">
        <v>80</v>
      </c>
      <c r="H34" s="176">
        <f t="shared" si="24"/>
        <v>0.71250000000000002</v>
      </c>
      <c r="I34" s="184">
        <v>130</v>
      </c>
      <c r="J34" s="41">
        <f t="shared" si="25"/>
        <v>0.43846153846153846</v>
      </c>
      <c r="K34" s="160">
        <v>240</v>
      </c>
      <c r="L34" s="179">
        <f t="shared" si="26"/>
        <v>0.23749999999999999</v>
      </c>
      <c r="M34" s="161">
        <v>240</v>
      </c>
      <c r="N34" s="181">
        <f t="shared" si="27"/>
        <v>0.23749999999999999</v>
      </c>
      <c r="O34" s="130">
        <v>410</v>
      </c>
      <c r="P34" s="42">
        <f t="shared" si="28"/>
        <v>0.13902439024390245</v>
      </c>
      <c r="Q34" s="128">
        <v>360</v>
      </c>
      <c r="R34" s="42">
        <f t="shared" si="29"/>
        <v>0.15833333333333333</v>
      </c>
      <c r="S34" s="128">
        <v>400</v>
      </c>
      <c r="T34" s="42">
        <f t="shared" si="30"/>
        <v>0.14249999999999999</v>
      </c>
      <c r="U34" s="128">
        <v>360</v>
      </c>
      <c r="V34" s="43">
        <f t="shared" si="31"/>
        <v>0.15833333333333333</v>
      </c>
      <c r="W34" s="126">
        <v>400</v>
      </c>
      <c r="X34" s="42">
        <f t="shared" si="32"/>
        <v>0.14249999999999999</v>
      </c>
      <c r="Y34" s="128">
        <v>310</v>
      </c>
      <c r="Z34" s="42">
        <f t="shared" si="33"/>
        <v>0.18387096774193548</v>
      </c>
      <c r="AA34" s="128">
        <v>350</v>
      </c>
      <c r="AB34" s="42">
        <f t="shared" si="34"/>
        <v>0.16285714285714287</v>
      </c>
      <c r="AC34" s="128">
        <v>310</v>
      </c>
      <c r="AD34" s="44">
        <f t="shared" si="35"/>
        <v>0.18387096774193548</v>
      </c>
      <c r="AE34" s="130">
        <v>420</v>
      </c>
      <c r="AF34" s="42">
        <f t="shared" si="36"/>
        <v>0.1357142857142857</v>
      </c>
      <c r="AG34" s="128">
        <v>320</v>
      </c>
      <c r="AH34" s="42">
        <f t="shared" si="37"/>
        <v>0.17812500000000001</v>
      </c>
      <c r="AI34" s="128">
        <v>360</v>
      </c>
      <c r="AJ34" s="42">
        <f t="shared" si="38"/>
        <v>0.15833333333333333</v>
      </c>
      <c r="AK34" s="128">
        <v>320</v>
      </c>
      <c r="AL34" s="43">
        <f t="shared" si="39"/>
        <v>0.17812500000000001</v>
      </c>
      <c r="AM34" s="126">
        <v>420</v>
      </c>
      <c r="AN34" s="42">
        <f t="shared" si="40"/>
        <v>0.1357142857142857</v>
      </c>
      <c r="AO34" s="128">
        <v>320</v>
      </c>
      <c r="AP34" s="44">
        <f t="shared" si="41"/>
        <v>0.17812500000000001</v>
      </c>
      <c r="AQ34" s="130">
        <v>420</v>
      </c>
      <c r="AR34" s="42">
        <f t="shared" si="42"/>
        <v>0.1357142857142857</v>
      </c>
      <c r="AS34" s="128">
        <v>320</v>
      </c>
      <c r="AT34" s="42">
        <f t="shared" si="43"/>
        <v>0.17812500000000001</v>
      </c>
    </row>
    <row r="35" spans="1:49" x14ac:dyDescent="0.75">
      <c r="A35" s="84" t="s">
        <v>95</v>
      </c>
      <c r="B35" s="95">
        <f>B5/450*5</f>
        <v>5</v>
      </c>
      <c r="C35" s="74">
        <v>0.27</v>
      </c>
      <c r="D35" s="7">
        <f t="shared" si="22"/>
        <v>18.518518518518519</v>
      </c>
      <c r="E35" s="57">
        <v>11</v>
      </c>
      <c r="F35" s="9">
        <f t="shared" si="23"/>
        <v>0.45454545454545453</v>
      </c>
      <c r="G35" s="60">
        <v>7</v>
      </c>
      <c r="H35" s="30">
        <f t="shared" si="24"/>
        <v>0.7142857142857143</v>
      </c>
      <c r="I35" s="60">
        <v>10</v>
      </c>
      <c r="J35" s="156">
        <f t="shared" si="25"/>
        <v>0.5</v>
      </c>
      <c r="K35" s="32">
        <v>8</v>
      </c>
      <c r="L35" s="182">
        <f t="shared" si="26"/>
        <v>0.625</v>
      </c>
      <c r="M35" s="34">
        <v>8</v>
      </c>
      <c r="N35" s="183">
        <f t="shared" si="27"/>
        <v>0.625</v>
      </c>
      <c r="O35" s="18">
        <v>11</v>
      </c>
      <c r="P35" s="19">
        <f t="shared" si="28"/>
        <v>0.45454545454545453</v>
      </c>
      <c r="Q35" s="20">
        <v>15</v>
      </c>
      <c r="R35" s="19">
        <f t="shared" si="29"/>
        <v>0.33333333333333331</v>
      </c>
      <c r="S35" s="20">
        <v>27</v>
      </c>
      <c r="T35" s="19">
        <f t="shared" si="30"/>
        <v>0.18518518518518517</v>
      </c>
      <c r="U35" s="20">
        <v>10</v>
      </c>
      <c r="V35" s="36">
        <f t="shared" si="31"/>
        <v>0.5</v>
      </c>
      <c r="W35" s="21">
        <v>8</v>
      </c>
      <c r="X35" s="19">
        <f t="shared" si="32"/>
        <v>0.625</v>
      </c>
      <c r="Y35" s="20">
        <v>18</v>
      </c>
      <c r="Z35" s="19">
        <f t="shared" si="33"/>
        <v>0.27777777777777779</v>
      </c>
      <c r="AA35" s="20">
        <v>27</v>
      </c>
      <c r="AB35" s="19">
        <f t="shared" si="34"/>
        <v>0.18518518518518517</v>
      </c>
      <c r="AC35" s="20">
        <v>9</v>
      </c>
      <c r="AD35" s="37">
        <f t="shared" si="35"/>
        <v>0.55555555555555558</v>
      </c>
      <c r="AE35" s="18">
        <v>8</v>
      </c>
      <c r="AF35" s="19">
        <f t="shared" si="36"/>
        <v>0.625</v>
      </c>
      <c r="AG35" s="20">
        <v>18</v>
      </c>
      <c r="AH35" s="19">
        <f t="shared" si="37"/>
        <v>0.27777777777777779</v>
      </c>
      <c r="AI35" s="20">
        <v>27</v>
      </c>
      <c r="AJ35" s="19">
        <f t="shared" si="38"/>
        <v>0.18518518518518517</v>
      </c>
      <c r="AK35" s="20">
        <v>9</v>
      </c>
      <c r="AL35" s="36">
        <f t="shared" si="39"/>
        <v>0.55555555555555558</v>
      </c>
      <c r="AM35" s="21">
        <v>8</v>
      </c>
      <c r="AN35" s="19">
        <f t="shared" si="40"/>
        <v>0.625</v>
      </c>
      <c r="AO35" s="20">
        <v>8</v>
      </c>
      <c r="AP35" s="37">
        <f t="shared" si="41"/>
        <v>0.625</v>
      </c>
      <c r="AQ35" s="18">
        <v>8</v>
      </c>
      <c r="AR35" s="19">
        <f t="shared" si="42"/>
        <v>0.625</v>
      </c>
      <c r="AS35" s="20">
        <v>8</v>
      </c>
      <c r="AT35" s="19">
        <f t="shared" si="43"/>
        <v>0.625</v>
      </c>
    </row>
    <row r="36" spans="1:49" x14ac:dyDescent="0.75">
      <c r="A36" s="264" t="s">
        <v>96</v>
      </c>
      <c r="B36" s="273">
        <v>4.7</v>
      </c>
      <c r="C36" s="283">
        <v>2</v>
      </c>
      <c r="D36" s="24">
        <f t="shared" si="22"/>
        <v>2.35</v>
      </c>
      <c r="E36" s="58">
        <v>3</v>
      </c>
      <c r="F36" s="23">
        <f t="shared" si="23"/>
        <v>1.5666666666666667</v>
      </c>
      <c r="G36" s="184">
        <v>3</v>
      </c>
      <c r="H36" s="176">
        <f t="shared" si="24"/>
        <v>1.5666666666666667</v>
      </c>
      <c r="I36" s="184">
        <v>5</v>
      </c>
      <c r="J36" s="41">
        <f t="shared" si="25"/>
        <v>0.94000000000000006</v>
      </c>
      <c r="K36" s="160">
        <v>8</v>
      </c>
      <c r="L36" s="179">
        <f t="shared" si="26"/>
        <v>0.58750000000000002</v>
      </c>
      <c r="M36" s="161">
        <v>8</v>
      </c>
      <c r="N36" s="181">
        <f t="shared" si="27"/>
        <v>0.58750000000000002</v>
      </c>
      <c r="O36" s="130">
        <v>11</v>
      </c>
      <c r="P36" s="42">
        <f t="shared" si="28"/>
        <v>0.4272727272727273</v>
      </c>
      <c r="Q36" s="128">
        <v>9</v>
      </c>
      <c r="R36" s="42">
        <f t="shared" si="29"/>
        <v>0.52222222222222225</v>
      </c>
      <c r="S36" s="128">
        <v>12</v>
      </c>
      <c r="T36" s="42">
        <f t="shared" si="30"/>
        <v>0.39166666666666666</v>
      </c>
      <c r="U36" s="128">
        <v>13</v>
      </c>
      <c r="V36" s="43">
        <f t="shared" si="31"/>
        <v>0.36153846153846153</v>
      </c>
      <c r="W36" s="126">
        <v>11</v>
      </c>
      <c r="X36" s="42">
        <f t="shared" si="32"/>
        <v>0.4272727272727273</v>
      </c>
      <c r="Y36" s="128">
        <v>8</v>
      </c>
      <c r="Z36" s="42">
        <f t="shared" si="33"/>
        <v>0.58750000000000002</v>
      </c>
      <c r="AA36" s="128">
        <v>11</v>
      </c>
      <c r="AB36" s="42">
        <f t="shared" si="34"/>
        <v>0.4272727272727273</v>
      </c>
      <c r="AC36" s="128">
        <v>12</v>
      </c>
      <c r="AD36" s="44">
        <f t="shared" si="35"/>
        <v>0.39166666666666666</v>
      </c>
      <c r="AE36" s="130">
        <v>11</v>
      </c>
      <c r="AF36" s="42">
        <f t="shared" si="36"/>
        <v>0.4272727272727273</v>
      </c>
      <c r="AG36" s="128">
        <v>8</v>
      </c>
      <c r="AH36" s="42">
        <f t="shared" si="37"/>
        <v>0.58750000000000002</v>
      </c>
      <c r="AI36" s="128">
        <v>11</v>
      </c>
      <c r="AJ36" s="42">
        <f t="shared" si="38"/>
        <v>0.4272727272727273</v>
      </c>
      <c r="AK36" s="128">
        <v>12</v>
      </c>
      <c r="AL36" s="43">
        <f t="shared" si="39"/>
        <v>0.39166666666666666</v>
      </c>
      <c r="AM36" s="126">
        <v>11</v>
      </c>
      <c r="AN36" s="42">
        <f t="shared" si="40"/>
        <v>0.4272727272727273</v>
      </c>
      <c r="AO36" s="128">
        <v>8</v>
      </c>
      <c r="AP36" s="44">
        <f t="shared" si="41"/>
        <v>0.58750000000000002</v>
      </c>
      <c r="AQ36" s="130">
        <v>11</v>
      </c>
      <c r="AR36" s="42">
        <f t="shared" si="42"/>
        <v>0.4272727272727273</v>
      </c>
      <c r="AS36" s="128">
        <v>8</v>
      </c>
      <c r="AT36" s="42">
        <f t="shared" si="43"/>
        <v>0.58750000000000002</v>
      </c>
    </row>
    <row r="37" spans="1:49" x14ac:dyDescent="0.75">
      <c r="A37" s="84" t="s">
        <v>97</v>
      </c>
      <c r="B37" s="95">
        <f>B5/450*0.4</f>
        <v>0.4</v>
      </c>
      <c r="C37" s="286">
        <v>3.0000000000000001E-3</v>
      </c>
      <c r="D37" s="7">
        <f t="shared" si="22"/>
        <v>133.33333333333334</v>
      </c>
      <c r="E37" s="59">
        <v>0.6</v>
      </c>
      <c r="F37" s="9">
        <f t="shared" si="23"/>
        <v>0.66666666666666674</v>
      </c>
      <c r="G37" s="60">
        <v>1.2</v>
      </c>
      <c r="H37" s="30">
        <f t="shared" si="24"/>
        <v>0.33333333333333337</v>
      </c>
      <c r="I37" s="60">
        <v>1.5</v>
      </c>
      <c r="J37" s="64">
        <f t="shared" si="25"/>
        <v>0.26666666666666666</v>
      </c>
      <c r="K37" s="164">
        <v>1.9</v>
      </c>
      <c r="L37" s="182">
        <f t="shared" si="26"/>
        <v>0.2105263157894737</v>
      </c>
      <c r="M37" s="165">
        <v>1.6</v>
      </c>
      <c r="N37" s="183">
        <f t="shared" si="27"/>
        <v>0.25</v>
      </c>
      <c r="O37" s="18">
        <v>2.2000000000000002</v>
      </c>
      <c r="P37" s="19">
        <f t="shared" si="28"/>
        <v>0.18181818181818182</v>
      </c>
      <c r="Q37" s="20">
        <v>1.6</v>
      </c>
      <c r="R37" s="19">
        <f t="shared" si="29"/>
        <v>0.25</v>
      </c>
      <c r="S37" s="165">
        <v>2</v>
      </c>
      <c r="T37" s="19">
        <f t="shared" si="30"/>
        <v>0.2</v>
      </c>
      <c r="U37" s="165">
        <v>2.6</v>
      </c>
      <c r="V37" s="36">
        <f t="shared" si="31"/>
        <v>0.15384615384615385</v>
      </c>
      <c r="W37" s="21">
        <v>2.2999999999999998</v>
      </c>
      <c r="X37" s="19">
        <f t="shared" si="32"/>
        <v>0.17391304347826089</v>
      </c>
      <c r="Y37" s="20">
        <v>1.8</v>
      </c>
      <c r="Z37" s="19">
        <f t="shared" si="33"/>
        <v>0.22222222222222224</v>
      </c>
      <c r="AA37" s="165">
        <v>2</v>
      </c>
      <c r="AB37" s="19">
        <f t="shared" si="34"/>
        <v>0.2</v>
      </c>
      <c r="AC37" s="165">
        <v>2.6</v>
      </c>
      <c r="AD37" s="37">
        <f t="shared" si="35"/>
        <v>0.15384615384615385</v>
      </c>
      <c r="AE37" s="18">
        <v>2.2999999999999998</v>
      </c>
      <c r="AF37" s="19">
        <f t="shared" si="36"/>
        <v>0.17391304347826089</v>
      </c>
      <c r="AG37" s="20">
        <v>1.8</v>
      </c>
      <c r="AH37" s="19">
        <f t="shared" si="37"/>
        <v>0.22222222222222224</v>
      </c>
      <c r="AI37" s="165">
        <v>2</v>
      </c>
      <c r="AJ37" s="19">
        <f t="shared" si="38"/>
        <v>0.2</v>
      </c>
      <c r="AK37" s="165">
        <v>2.6</v>
      </c>
      <c r="AL37" s="36">
        <f t="shared" si="39"/>
        <v>0.15384615384615385</v>
      </c>
      <c r="AM37" s="21">
        <v>2.2999999999999998</v>
      </c>
      <c r="AN37" s="19">
        <f t="shared" si="40"/>
        <v>0.17391304347826089</v>
      </c>
      <c r="AO37" s="20">
        <v>1.8</v>
      </c>
      <c r="AP37" s="37">
        <f t="shared" si="41"/>
        <v>0.22222222222222224</v>
      </c>
      <c r="AQ37" s="18">
        <v>2.2999999999999998</v>
      </c>
      <c r="AR37" s="19">
        <f t="shared" si="42"/>
        <v>0.17391304347826089</v>
      </c>
      <c r="AS37" s="20">
        <v>1.8</v>
      </c>
      <c r="AT37" s="19">
        <f t="shared" si="43"/>
        <v>0.22222222222222224</v>
      </c>
    </row>
    <row r="38" spans="1:49" x14ac:dyDescent="0.75">
      <c r="A38" s="85" t="s">
        <v>179</v>
      </c>
      <c r="B38" s="274">
        <f>B5/450*450</f>
        <v>450</v>
      </c>
      <c r="C38" s="284">
        <v>200</v>
      </c>
      <c r="D38" s="24">
        <f t="shared" si="22"/>
        <v>2.25</v>
      </c>
      <c r="E38" s="58">
        <v>220</v>
      </c>
      <c r="F38" s="23">
        <f t="shared" si="23"/>
        <v>2.0454545454545454</v>
      </c>
      <c r="G38" s="184">
        <v>340</v>
      </c>
      <c r="H38" s="176">
        <f t="shared" si="24"/>
        <v>1.3235294117647058</v>
      </c>
      <c r="I38" s="184">
        <v>440</v>
      </c>
      <c r="J38" s="41">
        <f t="shared" si="25"/>
        <v>1.0227272727272727</v>
      </c>
      <c r="K38" s="160">
        <v>700</v>
      </c>
      <c r="L38" s="179">
        <f t="shared" si="26"/>
        <v>0.6428571428571429</v>
      </c>
      <c r="M38" s="161">
        <v>700</v>
      </c>
      <c r="N38" s="181">
        <f t="shared" si="27"/>
        <v>0.6428571428571429</v>
      </c>
      <c r="O38" s="130">
        <v>890</v>
      </c>
      <c r="P38" s="42">
        <f t="shared" si="28"/>
        <v>0.5056179775280899</v>
      </c>
      <c r="Q38" s="128">
        <v>890</v>
      </c>
      <c r="R38" s="42">
        <f t="shared" si="29"/>
        <v>0.5056179775280899</v>
      </c>
      <c r="S38" s="128">
        <v>1000</v>
      </c>
      <c r="T38" s="42">
        <f t="shared" si="30"/>
        <v>0.45</v>
      </c>
      <c r="U38" s="128">
        <v>1300</v>
      </c>
      <c r="V38" s="43">
        <f t="shared" si="31"/>
        <v>0.34615384615384615</v>
      </c>
      <c r="W38" s="126">
        <v>900</v>
      </c>
      <c r="X38" s="42">
        <f t="shared" si="32"/>
        <v>0.5</v>
      </c>
      <c r="Y38" s="128">
        <v>900</v>
      </c>
      <c r="Z38" s="42">
        <f t="shared" si="33"/>
        <v>0.5</v>
      </c>
      <c r="AA38" s="128">
        <v>1000</v>
      </c>
      <c r="AB38" s="42">
        <f t="shared" si="34"/>
        <v>0.45</v>
      </c>
      <c r="AC38" s="128">
        <v>1300</v>
      </c>
      <c r="AD38" s="44">
        <f t="shared" si="35"/>
        <v>0.34615384615384615</v>
      </c>
      <c r="AE38" s="130">
        <v>900</v>
      </c>
      <c r="AF38" s="42">
        <f t="shared" si="36"/>
        <v>0.5</v>
      </c>
      <c r="AG38" s="128">
        <v>900</v>
      </c>
      <c r="AH38" s="42">
        <f t="shared" si="37"/>
        <v>0.5</v>
      </c>
      <c r="AI38" s="128">
        <v>1000</v>
      </c>
      <c r="AJ38" s="42">
        <f t="shared" si="38"/>
        <v>0.45</v>
      </c>
      <c r="AK38" s="128">
        <v>1300</v>
      </c>
      <c r="AL38" s="43">
        <f t="shared" si="39"/>
        <v>0.34615384615384615</v>
      </c>
      <c r="AM38" s="126">
        <v>900</v>
      </c>
      <c r="AN38" s="42">
        <f t="shared" si="40"/>
        <v>0.5</v>
      </c>
      <c r="AO38" s="128">
        <v>900</v>
      </c>
      <c r="AP38" s="44">
        <f t="shared" si="41"/>
        <v>0.5</v>
      </c>
      <c r="AQ38" s="130">
        <v>900</v>
      </c>
      <c r="AR38" s="42">
        <f t="shared" si="42"/>
        <v>0.5</v>
      </c>
      <c r="AS38" s="128">
        <v>900</v>
      </c>
      <c r="AT38" s="42">
        <f t="shared" si="43"/>
        <v>0.5</v>
      </c>
    </row>
    <row r="39" spans="1:49" x14ac:dyDescent="0.75">
      <c r="A39" s="84" t="s">
        <v>180</v>
      </c>
      <c r="B39" s="272">
        <f>B5/450*92</f>
        <v>92</v>
      </c>
      <c r="C39" s="159">
        <v>110</v>
      </c>
      <c r="D39" s="7">
        <f t="shared" si="22"/>
        <v>0.83636363636363631</v>
      </c>
      <c r="E39" s="57">
        <v>130</v>
      </c>
      <c r="F39" s="9">
        <f t="shared" si="23"/>
        <v>0.70769230769230773</v>
      </c>
      <c r="G39" s="60">
        <v>90</v>
      </c>
      <c r="H39" s="30">
        <f t="shared" si="24"/>
        <v>1.0222222222222221</v>
      </c>
      <c r="I39" s="60">
        <v>90</v>
      </c>
      <c r="J39" s="156">
        <f t="shared" si="25"/>
        <v>1.0222222222222221</v>
      </c>
      <c r="K39" s="32">
        <v>120</v>
      </c>
      <c r="L39" s="182">
        <f t="shared" si="26"/>
        <v>0.76666666666666672</v>
      </c>
      <c r="M39" s="34">
        <v>120</v>
      </c>
      <c r="N39" s="183">
        <f t="shared" si="27"/>
        <v>0.76666666666666672</v>
      </c>
      <c r="O39" s="18">
        <v>150</v>
      </c>
      <c r="P39" s="19">
        <f t="shared" si="28"/>
        <v>0.61333333333333329</v>
      </c>
      <c r="Q39" s="20">
        <v>150</v>
      </c>
      <c r="R39" s="19">
        <f t="shared" si="29"/>
        <v>0.61333333333333329</v>
      </c>
      <c r="S39" s="20">
        <v>220</v>
      </c>
      <c r="T39" s="19">
        <f t="shared" si="30"/>
        <v>0.41818181818181815</v>
      </c>
      <c r="U39" s="20">
        <v>290</v>
      </c>
      <c r="V39" s="36">
        <f t="shared" si="31"/>
        <v>0.31724137931034485</v>
      </c>
      <c r="W39" s="21">
        <v>150</v>
      </c>
      <c r="X39" s="19">
        <f t="shared" si="32"/>
        <v>0.61333333333333329</v>
      </c>
      <c r="Y39" s="20">
        <v>150</v>
      </c>
      <c r="Z39" s="19">
        <f t="shared" si="33"/>
        <v>0.61333333333333329</v>
      </c>
      <c r="AA39" s="20">
        <v>220</v>
      </c>
      <c r="AB39" s="19">
        <f t="shared" si="34"/>
        <v>0.41818181818181815</v>
      </c>
      <c r="AC39" s="20">
        <v>290</v>
      </c>
      <c r="AD39" s="37">
        <f t="shared" si="35"/>
        <v>0.31724137931034485</v>
      </c>
      <c r="AE39" s="18">
        <v>150</v>
      </c>
      <c r="AF39" s="19">
        <f t="shared" si="36"/>
        <v>0.61333333333333329</v>
      </c>
      <c r="AG39" s="20">
        <v>150</v>
      </c>
      <c r="AH39" s="19">
        <f t="shared" si="37"/>
        <v>0.61333333333333329</v>
      </c>
      <c r="AI39" s="20">
        <v>220</v>
      </c>
      <c r="AJ39" s="19">
        <f t="shared" si="38"/>
        <v>0.41818181818181815</v>
      </c>
      <c r="AK39" s="20">
        <v>290</v>
      </c>
      <c r="AL39" s="36">
        <f t="shared" si="39"/>
        <v>0.31724137931034485</v>
      </c>
      <c r="AM39" s="21">
        <v>150</v>
      </c>
      <c r="AN39" s="19">
        <f t="shared" si="40"/>
        <v>0.61333333333333329</v>
      </c>
      <c r="AO39" s="20">
        <v>150</v>
      </c>
      <c r="AP39" s="37">
        <f t="shared" si="41"/>
        <v>0.61333333333333329</v>
      </c>
      <c r="AQ39" s="18">
        <v>150</v>
      </c>
      <c r="AR39" s="19">
        <f t="shared" si="42"/>
        <v>0.61333333333333329</v>
      </c>
      <c r="AS39" s="20">
        <v>150</v>
      </c>
      <c r="AT39" s="19">
        <f t="shared" si="43"/>
        <v>0.61333333333333329</v>
      </c>
    </row>
    <row r="40" spans="1:49" x14ac:dyDescent="0.75">
      <c r="A40" s="85" t="s">
        <v>181</v>
      </c>
      <c r="B40" s="274">
        <f>B5/450*25</f>
        <v>25</v>
      </c>
      <c r="C40" s="283">
        <v>2</v>
      </c>
      <c r="D40" s="24">
        <f t="shared" si="22"/>
        <v>12.5</v>
      </c>
      <c r="E40" s="58">
        <v>3</v>
      </c>
      <c r="F40" s="23">
        <f t="shared" si="23"/>
        <v>8.3333333333333339</v>
      </c>
      <c r="G40" s="184">
        <v>17</v>
      </c>
      <c r="H40" s="176">
        <f t="shared" si="24"/>
        <v>1.4705882352941178</v>
      </c>
      <c r="I40" s="184">
        <v>22</v>
      </c>
      <c r="J40" s="41">
        <f t="shared" si="25"/>
        <v>1.1363636363636365</v>
      </c>
      <c r="K40" s="160">
        <v>34</v>
      </c>
      <c r="L40" s="179">
        <f t="shared" si="26"/>
        <v>0.73529411764705888</v>
      </c>
      <c r="M40" s="161">
        <v>34</v>
      </c>
      <c r="N40" s="181">
        <f t="shared" si="27"/>
        <v>0.73529411764705888</v>
      </c>
      <c r="O40" s="130">
        <v>43</v>
      </c>
      <c r="P40" s="42">
        <f t="shared" si="28"/>
        <v>0.58139534883720934</v>
      </c>
      <c r="Q40" s="128">
        <v>43</v>
      </c>
      <c r="R40" s="42">
        <f t="shared" si="29"/>
        <v>0.58139534883720934</v>
      </c>
      <c r="S40" s="128">
        <v>50</v>
      </c>
      <c r="T40" s="42">
        <f t="shared" si="30"/>
        <v>0.5</v>
      </c>
      <c r="U40" s="128">
        <v>50</v>
      </c>
      <c r="V40" s="43">
        <f t="shared" si="31"/>
        <v>0.5</v>
      </c>
      <c r="W40" s="126">
        <v>45</v>
      </c>
      <c r="X40" s="42">
        <f t="shared" si="32"/>
        <v>0.55555555555555558</v>
      </c>
      <c r="Y40" s="128">
        <v>45</v>
      </c>
      <c r="Z40" s="42">
        <f t="shared" si="33"/>
        <v>0.55555555555555558</v>
      </c>
      <c r="AA40" s="128">
        <v>50</v>
      </c>
      <c r="AB40" s="42">
        <f t="shared" si="34"/>
        <v>0.5</v>
      </c>
      <c r="AC40" s="128">
        <v>50</v>
      </c>
      <c r="AD40" s="44">
        <f t="shared" si="35"/>
        <v>0.5</v>
      </c>
      <c r="AE40" s="130">
        <v>45</v>
      </c>
      <c r="AF40" s="42">
        <f t="shared" si="36"/>
        <v>0.55555555555555558</v>
      </c>
      <c r="AG40" s="128">
        <v>45</v>
      </c>
      <c r="AH40" s="42">
        <f t="shared" si="37"/>
        <v>0.55555555555555558</v>
      </c>
      <c r="AI40" s="128">
        <v>50</v>
      </c>
      <c r="AJ40" s="42">
        <f t="shared" si="38"/>
        <v>0.5</v>
      </c>
      <c r="AK40" s="128">
        <v>50</v>
      </c>
      <c r="AL40" s="43">
        <f t="shared" si="39"/>
        <v>0.5</v>
      </c>
      <c r="AM40" s="126">
        <v>45</v>
      </c>
      <c r="AN40" s="42">
        <f t="shared" si="40"/>
        <v>0.55555555555555558</v>
      </c>
      <c r="AO40" s="128">
        <v>45</v>
      </c>
      <c r="AP40" s="44">
        <f t="shared" si="41"/>
        <v>0.55555555555555558</v>
      </c>
      <c r="AQ40" s="130">
        <v>45</v>
      </c>
      <c r="AR40" s="42">
        <f t="shared" si="42"/>
        <v>0.55555555555555558</v>
      </c>
      <c r="AS40" s="128">
        <v>45</v>
      </c>
      <c r="AT40" s="42">
        <f t="shared" si="43"/>
        <v>0.55555555555555558</v>
      </c>
    </row>
    <row r="41" spans="1:49" x14ac:dyDescent="0.75">
      <c r="A41" s="84" t="s">
        <v>182</v>
      </c>
      <c r="B41" s="272">
        <f>B5/450*13</f>
        <v>13</v>
      </c>
      <c r="C41" s="74">
        <v>0.2</v>
      </c>
      <c r="D41" s="7">
        <f t="shared" si="22"/>
        <v>65</v>
      </c>
      <c r="E41" s="59">
        <v>5.5</v>
      </c>
      <c r="F41" s="9">
        <f t="shared" si="23"/>
        <v>2.3636363636363638</v>
      </c>
      <c r="G41" s="60">
        <v>11</v>
      </c>
      <c r="H41" s="30">
        <f t="shared" si="24"/>
        <v>1.1818181818181819</v>
      </c>
      <c r="I41" s="60">
        <v>15</v>
      </c>
      <c r="J41" s="64">
        <f t="shared" si="25"/>
        <v>0.8666666666666667</v>
      </c>
      <c r="K41" s="32">
        <v>25</v>
      </c>
      <c r="L41" s="182">
        <f t="shared" si="26"/>
        <v>0.52</v>
      </c>
      <c r="M41" s="34">
        <v>21</v>
      </c>
      <c r="N41" s="183">
        <f t="shared" si="27"/>
        <v>0.61904761904761907</v>
      </c>
      <c r="O41" s="18">
        <v>35</v>
      </c>
      <c r="P41" s="19">
        <f t="shared" si="28"/>
        <v>0.37142857142857144</v>
      </c>
      <c r="Q41" s="20">
        <v>24</v>
      </c>
      <c r="R41" s="19">
        <f t="shared" si="29"/>
        <v>0.54166666666666663</v>
      </c>
      <c r="S41" s="20">
        <v>29</v>
      </c>
      <c r="T41" s="19">
        <f t="shared" si="30"/>
        <v>0.44827586206896552</v>
      </c>
      <c r="U41" s="20">
        <v>44</v>
      </c>
      <c r="V41" s="36">
        <f t="shared" si="31"/>
        <v>0.29545454545454547</v>
      </c>
      <c r="W41" s="21">
        <v>35</v>
      </c>
      <c r="X41" s="19">
        <f t="shared" si="32"/>
        <v>0.37142857142857144</v>
      </c>
      <c r="Y41" s="20">
        <v>25</v>
      </c>
      <c r="Z41" s="19">
        <f t="shared" si="33"/>
        <v>0.52</v>
      </c>
      <c r="AA41" s="20">
        <v>30</v>
      </c>
      <c r="AB41" s="19">
        <f t="shared" si="34"/>
        <v>0.43333333333333335</v>
      </c>
      <c r="AC41" s="20">
        <v>45</v>
      </c>
      <c r="AD41" s="37">
        <f t="shared" si="35"/>
        <v>0.28888888888888886</v>
      </c>
      <c r="AE41" s="18">
        <v>35</v>
      </c>
      <c r="AF41" s="19">
        <f t="shared" si="36"/>
        <v>0.37142857142857144</v>
      </c>
      <c r="AG41" s="20">
        <v>25</v>
      </c>
      <c r="AH41" s="19">
        <f t="shared" si="37"/>
        <v>0.52</v>
      </c>
      <c r="AI41" s="20">
        <v>30</v>
      </c>
      <c r="AJ41" s="19">
        <f t="shared" si="38"/>
        <v>0.43333333333333335</v>
      </c>
      <c r="AK41" s="20">
        <v>45</v>
      </c>
      <c r="AL41" s="36">
        <f t="shared" si="39"/>
        <v>0.28888888888888886</v>
      </c>
      <c r="AM41" s="21">
        <v>30</v>
      </c>
      <c r="AN41" s="19">
        <f t="shared" si="40"/>
        <v>0.43333333333333335</v>
      </c>
      <c r="AO41" s="20">
        <v>20</v>
      </c>
      <c r="AP41" s="37">
        <f t="shared" si="41"/>
        <v>0.65</v>
      </c>
      <c r="AQ41" s="18">
        <v>30</v>
      </c>
      <c r="AR41" s="19">
        <f t="shared" si="42"/>
        <v>0.43333333333333335</v>
      </c>
      <c r="AS41" s="20">
        <v>20</v>
      </c>
      <c r="AT41" s="19">
        <f t="shared" si="43"/>
        <v>0.65</v>
      </c>
    </row>
    <row r="42" spans="1:49" x14ac:dyDescent="0.75">
      <c r="A42" s="85" t="s">
        <v>183</v>
      </c>
      <c r="B42" s="274">
        <f>B5/450*16</f>
        <v>16</v>
      </c>
      <c r="C42" s="287">
        <v>15</v>
      </c>
      <c r="D42" s="24">
        <f t="shared" si="22"/>
        <v>1.0666666666666667</v>
      </c>
      <c r="E42" s="61">
        <v>20</v>
      </c>
      <c r="F42" s="23">
        <f t="shared" si="23"/>
        <v>0.8</v>
      </c>
      <c r="G42" s="185">
        <v>20</v>
      </c>
      <c r="H42" s="176">
        <f t="shared" si="24"/>
        <v>0.8</v>
      </c>
      <c r="I42" s="185">
        <v>30</v>
      </c>
      <c r="J42" s="41">
        <f t="shared" si="25"/>
        <v>0.53333333333333333</v>
      </c>
      <c r="K42" s="160">
        <v>40</v>
      </c>
      <c r="L42" s="179">
        <f t="shared" si="26"/>
        <v>0.4</v>
      </c>
      <c r="M42" s="161">
        <v>40</v>
      </c>
      <c r="N42" s="181">
        <f t="shared" si="27"/>
        <v>0.4</v>
      </c>
      <c r="O42" s="130">
        <v>55</v>
      </c>
      <c r="P42" s="42">
        <f t="shared" si="28"/>
        <v>0.29090909090909089</v>
      </c>
      <c r="Q42" s="128">
        <v>55</v>
      </c>
      <c r="R42" s="42">
        <f t="shared" si="29"/>
        <v>0.29090909090909089</v>
      </c>
      <c r="S42" s="128">
        <v>60</v>
      </c>
      <c r="T42" s="42">
        <f t="shared" si="30"/>
        <v>0.26666666666666666</v>
      </c>
      <c r="U42" s="128">
        <v>70</v>
      </c>
      <c r="V42" s="43">
        <f t="shared" si="31"/>
        <v>0.22857142857142856</v>
      </c>
      <c r="W42" s="126">
        <v>55</v>
      </c>
      <c r="X42" s="42">
        <f t="shared" si="32"/>
        <v>0.29090909090909089</v>
      </c>
      <c r="Y42" s="128">
        <v>55</v>
      </c>
      <c r="Z42" s="42">
        <f t="shared" si="33"/>
        <v>0.29090909090909089</v>
      </c>
      <c r="AA42" s="128">
        <v>60</v>
      </c>
      <c r="AB42" s="42">
        <f t="shared" si="34"/>
        <v>0.26666666666666666</v>
      </c>
      <c r="AC42" s="128">
        <v>70</v>
      </c>
      <c r="AD42" s="44">
        <f t="shared" si="35"/>
        <v>0.22857142857142856</v>
      </c>
      <c r="AE42" s="130">
        <v>55</v>
      </c>
      <c r="AF42" s="42">
        <f t="shared" si="36"/>
        <v>0.29090909090909089</v>
      </c>
      <c r="AG42" s="128">
        <v>55</v>
      </c>
      <c r="AH42" s="42">
        <f t="shared" si="37"/>
        <v>0.29090909090909089</v>
      </c>
      <c r="AI42" s="128">
        <v>60</v>
      </c>
      <c r="AJ42" s="42">
        <f t="shared" si="38"/>
        <v>0.26666666666666666</v>
      </c>
      <c r="AK42" s="128">
        <v>70</v>
      </c>
      <c r="AL42" s="43">
        <f t="shared" si="39"/>
        <v>0.22857142857142856</v>
      </c>
      <c r="AM42" s="126">
        <v>55</v>
      </c>
      <c r="AN42" s="42">
        <f t="shared" si="40"/>
        <v>0.29090909090909089</v>
      </c>
      <c r="AO42" s="128">
        <v>55</v>
      </c>
      <c r="AP42" s="44">
        <f t="shared" si="41"/>
        <v>0.29090909090909089</v>
      </c>
      <c r="AQ42" s="130">
        <v>55</v>
      </c>
      <c r="AR42" s="42">
        <f t="shared" si="42"/>
        <v>0.29090909090909089</v>
      </c>
      <c r="AS42" s="128">
        <v>55</v>
      </c>
      <c r="AT42" s="42">
        <f t="shared" si="43"/>
        <v>0.29090909090909089</v>
      </c>
    </row>
    <row r="43" spans="1:49" x14ac:dyDescent="0.75">
      <c r="A43" s="84" t="s">
        <v>98</v>
      </c>
      <c r="B43" s="272">
        <f>B5/450*258</f>
        <v>258</v>
      </c>
      <c r="C43" s="288">
        <v>110</v>
      </c>
      <c r="D43" s="7">
        <f t="shared" si="22"/>
        <v>2.3454545454545452</v>
      </c>
      <c r="E43" s="62">
        <v>370</v>
      </c>
      <c r="F43" s="9">
        <f t="shared" si="23"/>
        <v>0.69729729729729728</v>
      </c>
      <c r="G43" s="63">
        <v>800</v>
      </c>
      <c r="H43" s="30">
        <f t="shared" si="24"/>
        <v>0.32250000000000001</v>
      </c>
      <c r="I43" s="63">
        <v>1000</v>
      </c>
      <c r="J43" s="64">
        <f t="shared" si="25"/>
        <v>0.25800000000000001</v>
      </c>
      <c r="K43" s="32">
        <v>1200</v>
      </c>
      <c r="L43" s="182">
        <f t="shared" si="26"/>
        <v>0.215</v>
      </c>
      <c r="M43" s="34">
        <v>1200</v>
      </c>
      <c r="N43" s="183">
        <f t="shared" si="27"/>
        <v>0.215</v>
      </c>
      <c r="O43" s="18">
        <v>1500</v>
      </c>
      <c r="P43" s="19">
        <f t="shared" si="28"/>
        <v>0.17199999999999999</v>
      </c>
      <c r="Q43" s="20">
        <v>1500</v>
      </c>
      <c r="R43" s="19">
        <f t="shared" si="29"/>
        <v>0.17199999999999999</v>
      </c>
      <c r="S43" s="20">
        <v>1500</v>
      </c>
      <c r="T43" s="19">
        <f t="shared" si="30"/>
        <v>0.17199999999999999</v>
      </c>
      <c r="U43" s="20">
        <v>1500</v>
      </c>
      <c r="V43" s="36">
        <f t="shared" si="31"/>
        <v>0.17199999999999999</v>
      </c>
      <c r="W43" s="21">
        <v>1500</v>
      </c>
      <c r="X43" s="19">
        <f t="shared" si="32"/>
        <v>0.17199999999999999</v>
      </c>
      <c r="Y43" s="20">
        <v>1500</v>
      </c>
      <c r="Z43" s="19">
        <f t="shared" si="33"/>
        <v>0.17199999999999999</v>
      </c>
      <c r="AA43" s="20">
        <v>1500</v>
      </c>
      <c r="AB43" s="19">
        <f t="shared" si="34"/>
        <v>0.17199999999999999</v>
      </c>
      <c r="AC43" s="20">
        <v>1500</v>
      </c>
      <c r="AD43" s="37">
        <f t="shared" si="35"/>
        <v>0.17199999999999999</v>
      </c>
      <c r="AE43" s="18">
        <v>1500</v>
      </c>
      <c r="AF43" s="19">
        <f t="shared" si="36"/>
        <v>0.17199999999999999</v>
      </c>
      <c r="AG43" s="20">
        <v>1500</v>
      </c>
      <c r="AH43" s="19">
        <f t="shared" si="37"/>
        <v>0.17199999999999999</v>
      </c>
      <c r="AI43" s="20">
        <v>1500</v>
      </c>
      <c r="AJ43" s="19">
        <f t="shared" si="38"/>
        <v>0.17199999999999999</v>
      </c>
      <c r="AK43" s="20">
        <v>1500</v>
      </c>
      <c r="AL43" s="36">
        <f t="shared" si="39"/>
        <v>0.17199999999999999</v>
      </c>
      <c r="AM43" s="21">
        <v>1500</v>
      </c>
      <c r="AN43" s="19">
        <f t="shared" si="40"/>
        <v>0.17199999999999999</v>
      </c>
      <c r="AO43" s="20">
        <v>1500</v>
      </c>
      <c r="AP43" s="37">
        <f t="shared" si="41"/>
        <v>0.17199999999999999</v>
      </c>
      <c r="AQ43" s="18">
        <v>1500</v>
      </c>
      <c r="AR43" s="19">
        <f t="shared" si="42"/>
        <v>0.17199999999999999</v>
      </c>
      <c r="AS43" s="20">
        <v>1500</v>
      </c>
      <c r="AT43" s="19">
        <f t="shared" si="43"/>
        <v>0.17199999999999999</v>
      </c>
    </row>
    <row r="44" spans="1:49" x14ac:dyDescent="0.75">
      <c r="A44" s="86" t="s">
        <v>99</v>
      </c>
      <c r="B44" s="276">
        <f>B5/450*503</f>
        <v>503</v>
      </c>
      <c r="C44" s="280">
        <v>400</v>
      </c>
      <c r="D44" s="24">
        <f t="shared" si="22"/>
        <v>1.2575000000000001</v>
      </c>
      <c r="E44" s="65">
        <v>860</v>
      </c>
      <c r="F44" s="23">
        <f t="shared" si="23"/>
        <v>0.58488372093023255</v>
      </c>
      <c r="G44" s="51">
        <v>2000</v>
      </c>
      <c r="H44" s="52">
        <f t="shared" si="24"/>
        <v>0.2515</v>
      </c>
      <c r="I44" s="51">
        <v>2300</v>
      </c>
      <c r="J44" s="50">
        <f t="shared" si="25"/>
        <v>0.21869565217391304</v>
      </c>
      <c r="K44" s="160">
        <v>2500</v>
      </c>
      <c r="L44" s="179">
        <f t="shared" si="26"/>
        <v>0.20119999999999999</v>
      </c>
      <c r="M44" s="161">
        <v>2300</v>
      </c>
      <c r="N44" s="181">
        <f t="shared" si="27"/>
        <v>0.21869565217391304</v>
      </c>
      <c r="O44" s="130">
        <v>3000</v>
      </c>
      <c r="P44" s="42">
        <f t="shared" si="28"/>
        <v>0.16766666666666666</v>
      </c>
      <c r="Q44" s="128">
        <v>2300</v>
      </c>
      <c r="R44" s="42">
        <f t="shared" si="29"/>
        <v>0.21869565217391304</v>
      </c>
      <c r="S44" s="128">
        <v>2600</v>
      </c>
      <c r="T44" s="42">
        <f t="shared" si="30"/>
        <v>0.19346153846153846</v>
      </c>
      <c r="U44" s="128">
        <v>2500</v>
      </c>
      <c r="V44" s="43">
        <f t="shared" si="31"/>
        <v>0.20119999999999999</v>
      </c>
      <c r="W44" s="126">
        <v>3400</v>
      </c>
      <c r="X44" s="42">
        <f t="shared" si="32"/>
        <v>0.14794117647058824</v>
      </c>
      <c r="Y44" s="128">
        <v>2600</v>
      </c>
      <c r="Z44" s="42">
        <f t="shared" si="33"/>
        <v>0.19346153846153846</v>
      </c>
      <c r="AA44" s="128">
        <v>2900</v>
      </c>
      <c r="AB44" s="42">
        <f t="shared" si="34"/>
        <v>0.17344827586206896</v>
      </c>
      <c r="AC44" s="128">
        <v>2800</v>
      </c>
      <c r="AD44" s="44">
        <f t="shared" si="35"/>
        <v>0.17964285714285713</v>
      </c>
      <c r="AE44" s="130">
        <v>3400</v>
      </c>
      <c r="AF44" s="42">
        <f t="shared" si="36"/>
        <v>0.14794117647058824</v>
      </c>
      <c r="AG44" s="128">
        <v>2600</v>
      </c>
      <c r="AH44" s="42">
        <f t="shared" si="37"/>
        <v>0.19346153846153846</v>
      </c>
      <c r="AI44" s="128">
        <v>2900</v>
      </c>
      <c r="AJ44" s="42">
        <f t="shared" si="38"/>
        <v>0.17344827586206896</v>
      </c>
      <c r="AK44" s="128">
        <v>2800</v>
      </c>
      <c r="AL44" s="43">
        <f t="shared" si="39"/>
        <v>0.17964285714285713</v>
      </c>
      <c r="AM44" s="126">
        <v>3400</v>
      </c>
      <c r="AN44" s="42">
        <f t="shared" si="40"/>
        <v>0.14794117647058824</v>
      </c>
      <c r="AO44" s="128">
        <v>2600</v>
      </c>
      <c r="AP44" s="44">
        <f t="shared" si="41"/>
        <v>0.19346153846153846</v>
      </c>
      <c r="AQ44" s="130">
        <v>3400</v>
      </c>
      <c r="AR44" s="42">
        <f t="shared" si="42"/>
        <v>0.14794117647058824</v>
      </c>
      <c r="AS44" s="128">
        <v>2600</v>
      </c>
      <c r="AT44" s="42">
        <f t="shared" si="43"/>
        <v>0.19346153846153846</v>
      </c>
    </row>
    <row r="45" spans="1:49" ht="15.5" thickBot="1" x14ac:dyDescent="0.9">
      <c r="A45" s="87" t="s">
        <v>100</v>
      </c>
      <c r="B45" s="277">
        <f>B5/450*299</f>
        <v>299</v>
      </c>
      <c r="C45" s="289">
        <v>180</v>
      </c>
      <c r="D45" s="7">
        <f t="shared" si="22"/>
        <v>1.6611111111111112</v>
      </c>
      <c r="E45" s="66">
        <v>570</v>
      </c>
      <c r="F45" s="9">
        <f t="shared" si="23"/>
        <v>0.5245614035087719</v>
      </c>
      <c r="G45" s="67">
        <v>1500</v>
      </c>
      <c r="H45" s="30">
        <f t="shared" si="24"/>
        <v>0.19933333333333333</v>
      </c>
      <c r="I45" s="67">
        <v>1900</v>
      </c>
      <c r="J45" s="68">
        <f t="shared" si="25"/>
        <v>0.15736842105263157</v>
      </c>
      <c r="K45" s="186">
        <v>2300</v>
      </c>
      <c r="L45" s="187">
        <f t="shared" si="26"/>
        <v>0.13</v>
      </c>
      <c r="M45" s="188">
        <v>2300</v>
      </c>
      <c r="N45" s="189">
        <f t="shared" si="27"/>
        <v>0.13</v>
      </c>
      <c r="O45" s="190">
        <v>2300</v>
      </c>
      <c r="P45" s="69">
        <f>B45/O45</f>
        <v>0.13</v>
      </c>
      <c r="Q45" s="191">
        <v>2300</v>
      </c>
      <c r="R45" s="69">
        <f t="shared" si="29"/>
        <v>0.13</v>
      </c>
      <c r="S45" s="191">
        <v>2300</v>
      </c>
      <c r="T45" s="69">
        <f>B45/S45</f>
        <v>0.13</v>
      </c>
      <c r="U45" s="191">
        <v>2300</v>
      </c>
      <c r="V45" s="70">
        <f>B45/U45</f>
        <v>0.13</v>
      </c>
      <c r="W45" s="192">
        <v>2300</v>
      </c>
      <c r="X45" s="69">
        <f t="shared" si="32"/>
        <v>0.13</v>
      </c>
      <c r="Y45" s="191">
        <v>2300</v>
      </c>
      <c r="Z45" s="69">
        <f t="shared" si="33"/>
        <v>0.13</v>
      </c>
      <c r="AA45" s="191">
        <v>2300</v>
      </c>
      <c r="AB45" s="69">
        <f>B45/AA45</f>
        <v>0.13</v>
      </c>
      <c r="AC45" s="191">
        <v>2300</v>
      </c>
      <c r="AD45" s="71">
        <f t="shared" si="35"/>
        <v>0.13</v>
      </c>
      <c r="AE45" s="190">
        <v>2300</v>
      </c>
      <c r="AF45" s="69">
        <f>B45/AE45</f>
        <v>0.13</v>
      </c>
      <c r="AG45" s="191">
        <v>2300</v>
      </c>
      <c r="AH45" s="69">
        <f t="shared" si="37"/>
        <v>0.13</v>
      </c>
      <c r="AI45" s="191">
        <v>2300</v>
      </c>
      <c r="AJ45" s="69">
        <f t="shared" si="38"/>
        <v>0.13</v>
      </c>
      <c r="AK45" s="191">
        <v>2300</v>
      </c>
      <c r="AL45" s="70">
        <f t="shared" si="39"/>
        <v>0.13</v>
      </c>
      <c r="AM45" s="192">
        <v>2000</v>
      </c>
      <c r="AN45" s="69">
        <f t="shared" si="40"/>
        <v>0.14949999999999999</v>
      </c>
      <c r="AO45" s="191">
        <v>2000</v>
      </c>
      <c r="AP45" s="71">
        <f t="shared" si="41"/>
        <v>0.14949999999999999</v>
      </c>
      <c r="AQ45" s="190">
        <v>1800</v>
      </c>
      <c r="AR45" s="69">
        <f t="shared" si="42"/>
        <v>0.1661111111111111</v>
      </c>
      <c r="AS45" s="191">
        <v>1800</v>
      </c>
      <c r="AT45" s="69">
        <f t="shared" si="43"/>
        <v>0.1661111111111111</v>
      </c>
    </row>
    <row r="46" spans="1:49" x14ac:dyDescent="0.75">
      <c r="AU46" s="77"/>
      <c r="AV46" s="77"/>
      <c r="AW46" s="77"/>
    </row>
    <row r="47" spans="1:49" x14ac:dyDescent="0.75">
      <c r="AU47" s="77"/>
      <c r="AV47" s="77"/>
      <c r="AW47" s="77"/>
    </row>
  </sheetData>
  <mergeCells count="51">
    <mergeCell ref="A31:B31"/>
    <mergeCell ref="X6:X8"/>
    <mergeCell ref="Y6:Y8"/>
    <mergeCell ref="S6:S8"/>
    <mergeCell ref="T6:T8"/>
    <mergeCell ref="U6:U8"/>
    <mergeCell ref="R6:R8"/>
    <mergeCell ref="V6:V8"/>
    <mergeCell ref="W6:W8"/>
    <mergeCell ref="M6:M8"/>
    <mergeCell ref="I6:I8"/>
    <mergeCell ref="L6:L8"/>
    <mergeCell ref="Q6:Q8"/>
    <mergeCell ref="P6:P8"/>
    <mergeCell ref="C6:C8"/>
    <mergeCell ref="D6:D8"/>
    <mergeCell ref="AT6:AT8"/>
    <mergeCell ref="AS6:AS8"/>
    <mergeCell ref="AC6:AC8"/>
    <mergeCell ref="AP6:AP8"/>
    <mergeCell ref="AO6:AO8"/>
    <mergeCell ref="A14:B14"/>
    <mergeCell ref="AJ6:AJ8"/>
    <mergeCell ref="AK6:AK8"/>
    <mergeCell ref="AL6:AL8"/>
    <mergeCell ref="AM6:AM8"/>
    <mergeCell ref="AD6:AD8"/>
    <mergeCell ref="Z6:Z8"/>
    <mergeCell ref="AA6:AA8"/>
    <mergeCell ref="AB6:AB8"/>
    <mergeCell ref="AF6:AF8"/>
    <mergeCell ref="AG6:AG8"/>
    <mergeCell ref="AH6:AH8"/>
    <mergeCell ref="K6:K8"/>
    <mergeCell ref="N6:N8"/>
    <mergeCell ref="O6:O8"/>
    <mergeCell ref="AR6:AR8"/>
    <mergeCell ref="J6:J8"/>
    <mergeCell ref="C5:L5"/>
    <mergeCell ref="F6:F8"/>
    <mergeCell ref="G6:G8"/>
    <mergeCell ref="H6:H8"/>
    <mergeCell ref="E6:E8"/>
    <mergeCell ref="AN6:AN8"/>
    <mergeCell ref="AI6:AI8"/>
    <mergeCell ref="AE6:AE8"/>
    <mergeCell ref="B1:K1"/>
    <mergeCell ref="L1:W1"/>
    <mergeCell ref="AQ6:AQ8"/>
    <mergeCell ref="A2:M3"/>
    <mergeCell ref="A4:M4"/>
  </mergeCells>
  <pageMargins left="0.75" right="0.75" top="1" bottom="1"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S37"/>
  <sheetViews>
    <sheetView tabSelected="1" topLeftCell="A19" zoomScale="64" zoomScaleNormal="93" zoomScalePageLayoutView="93" workbookViewId="0">
      <selection activeCell="D27" sqref="D27:L32"/>
    </sheetView>
  </sheetViews>
  <sheetFormatPr defaultColWidth="10.76953125" defaultRowHeight="14.75" x14ac:dyDescent="0.75"/>
  <cols>
    <col min="2" max="2" width="3.2265625" customWidth="1"/>
    <col min="3" max="3" width="30.453125" customWidth="1"/>
    <col min="4" max="4" width="13.76953125" customWidth="1"/>
    <col min="5" max="5" width="10.76953125" customWidth="1"/>
    <col min="6" max="6" width="22" customWidth="1"/>
    <col min="7" max="7" width="3.453125" customWidth="1"/>
    <col min="8" max="8" width="4.2265625" customWidth="1"/>
    <col min="9" max="9" width="3.453125" customWidth="1"/>
    <col min="10" max="10" width="29.2265625" customWidth="1"/>
    <col min="11" max="11" width="15.76953125" customWidth="1"/>
    <col min="12" max="12" width="16.2265625" customWidth="1"/>
    <col min="13" max="13" width="23.6796875" customWidth="1"/>
    <col min="14" max="14" width="3.76953125" customWidth="1"/>
    <col min="15" max="15" width="28.2265625" customWidth="1"/>
    <col min="16" max="16" width="13.6796875" customWidth="1"/>
    <col min="17" max="17" width="9.76953125" customWidth="1"/>
    <col min="18" max="18" width="18.6796875" customWidth="1"/>
    <col min="19" max="19" width="6.76953125" customWidth="1"/>
  </cols>
  <sheetData>
    <row r="1" spans="2:45" s="193" customFormat="1" ht="82.15" customHeight="1" x14ac:dyDescent="0.75">
      <c r="C1" s="294"/>
      <c r="D1" s="294"/>
      <c r="E1" s="294"/>
      <c r="F1" s="294"/>
      <c r="G1" s="294"/>
      <c r="H1" s="294"/>
      <c r="I1" s="294"/>
      <c r="J1" s="294"/>
      <c r="K1" s="294"/>
      <c r="L1" s="294"/>
      <c r="M1" s="294"/>
      <c r="N1" s="194"/>
      <c r="O1" s="294"/>
      <c r="P1" s="294"/>
      <c r="Q1" s="294"/>
      <c r="R1" s="294"/>
      <c r="S1" s="294"/>
      <c r="T1" s="294"/>
      <c r="U1" s="294"/>
      <c r="V1" s="294"/>
      <c r="W1" s="294"/>
      <c r="X1" s="294"/>
      <c r="Y1" s="294"/>
      <c r="Z1" s="294"/>
    </row>
    <row r="2" spans="2:45" ht="23.25" customHeight="1" x14ac:dyDescent="0.75"/>
    <row r="3" spans="2:45" ht="115.95" customHeight="1" x14ac:dyDescent="0.75">
      <c r="B3" s="328" t="s">
        <v>151</v>
      </c>
      <c r="C3" s="328"/>
      <c r="D3" s="328"/>
      <c r="E3" s="328"/>
      <c r="F3" s="328"/>
      <c r="G3" s="328"/>
      <c r="H3" s="328"/>
      <c r="I3" s="328"/>
      <c r="J3" s="328"/>
      <c r="K3" s="328"/>
      <c r="L3" s="328"/>
      <c r="M3" s="328"/>
      <c r="N3" s="328"/>
      <c r="O3" s="240"/>
      <c r="P3" s="240"/>
      <c r="Q3" s="241"/>
    </row>
    <row r="4" spans="2:45" ht="7.15" customHeight="1" x14ac:dyDescent="0.75">
      <c r="B4" s="195"/>
      <c r="C4" s="195"/>
      <c r="D4" s="239"/>
      <c r="E4" s="239"/>
      <c r="F4" s="239"/>
      <c r="G4" s="239"/>
      <c r="H4" s="239"/>
      <c r="I4" s="239"/>
      <c r="J4" s="239"/>
      <c r="K4" s="239"/>
      <c r="L4" s="239"/>
      <c r="M4" s="239"/>
      <c r="N4" s="239"/>
      <c r="O4" s="240"/>
      <c r="P4" s="240"/>
      <c r="Q4" s="241"/>
    </row>
    <row r="6" spans="2:45" ht="47.25" customHeight="1" thickBot="1" x14ac:dyDescent="0.9">
      <c r="B6" s="195"/>
      <c r="C6" s="329" t="s">
        <v>141</v>
      </c>
      <c r="D6" s="329"/>
      <c r="E6" s="329"/>
      <c r="F6" s="329"/>
      <c r="G6" s="196"/>
      <c r="I6" s="199"/>
      <c r="J6" s="327" t="s">
        <v>146</v>
      </c>
      <c r="K6" s="327"/>
      <c r="L6" s="327"/>
      <c r="M6" s="327"/>
      <c r="N6" s="199"/>
    </row>
    <row r="7" spans="2:45" ht="28.15" customHeight="1" thickBot="1" x14ac:dyDescent="1.05">
      <c r="B7" s="195"/>
      <c r="C7" s="201" t="s">
        <v>124</v>
      </c>
      <c r="D7" s="216">
        <v>36</v>
      </c>
      <c r="E7" s="221">
        <f>D7/30</f>
        <v>1.2</v>
      </c>
      <c r="F7" s="202" t="s">
        <v>125</v>
      </c>
      <c r="G7" s="198"/>
      <c r="I7" s="199"/>
      <c r="J7" s="204" t="s">
        <v>124</v>
      </c>
      <c r="K7" s="207">
        <v>20</v>
      </c>
      <c r="L7" s="235">
        <f>K7/30</f>
        <v>0.66666666666666663</v>
      </c>
      <c r="M7" s="205" t="s">
        <v>125</v>
      </c>
      <c r="N7" s="199"/>
    </row>
    <row r="8" spans="2:45" ht="24" customHeight="1" thickBot="1" x14ac:dyDescent="1.05">
      <c r="B8" s="195"/>
      <c r="C8" s="201" t="s">
        <v>126</v>
      </c>
      <c r="D8" s="219">
        <v>33.299999999999997</v>
      </c>
      <c r="E8" s="201">
        <f>D8*30</f>
        <v>998.99999999999989</v>
      </c>
      <c r="F8" s="202" t="s">
        <v>127</v>
      </c>
      <c r="G8" s="198"/>
      <c r="I8" s="199"/>
      <c r="J8" s="204" t="s">
        <v>128</v>
      </c>
      <c r="K8" s="207">
        <v>550</v>
      </c>
      <c r="L8" s="218" t="s">
        <v>145</v>
      </c>
      <c r="M8" s="224"/>
      <c r="N8" s="199"/>
    </row>
    <row r="9" spans="2:45" ht="27" customHeight="1" x14ac:dyDescent="0.9">
      <c r="B9" s="195"/>
      <c r="C9" s="200" t="s">
        <v>128</v>
      </c>
      <c r="D9" s="203">
        <f>D7*D8</f>
        <v>1198.8</v>
      </c>
      <c r="E9" s="201"/>
      <c r="F9" s="202"/>
      <c r="G9" s="198"/>
      <c r="I9" s="199"/>
      <c r="J9" s="206" t="s">
        <v>126</v>
      </c>
      <c r="K9" s="206">
        <f>K8/K7</f>
        <v>27.5</v>
      </c>
      <c r="L9" s="204">
        <f>K9*30</f>
        <v>825</v>
      </c>
      <c r="M9" s="205" t="s">
        <v>127</v>
      </c>
      <c r="N9" s="199"/>
    </row>
    <row r="10" spans="2:45" ht="27" customHeight="1" x14ac:dyDescent="0.9">
      <c r="B10" s="195"/>
      <c r="C10" s="200" t="s">
        <v>129</v>
      </c>
      <c r="D10" s="215">
        <f>D9/4.5</f>
        <v>266.39999999999998</v>
      </c>
      <c r="E10" s="217">
        <f>D10/5</f>
        <v>53.279999999999994</v>
      </c>
      <c r="F10" s="223" t="s">
        <v>130</v>
      </c>
      <c r="G10" s="197"/>
      <c r="I10" s="199"/>
      <c r="J10" s="206" t="s">
        <v>129</v>
      </c>
      <c r="K10" s="237">
        <f>K8/4.5</f>
        <v>122.22222222222223</v>
      </c>
      <c r="L10" s="218">
        <f>K10/5</f>
        <v>24.444444444444446</v>
      </c>
      <c r="M10" s="205" t="s">
        <v>130</v>
      </c>
      <c r="N10" s="199"/>
    </row>
    <row r="11" spans="2:45" ht="23.25" customHeight="1" x14ac:dyDescent="0.9">
      <c r="B11" s="195"/>
      <c r="C11" s="200" t="s">
        <v>131</v>
      </c>
      <c r="D11" s="213">
        <f>D10*0.8/30</f>
        <v>7.1040000000000001</v>
      </c>
      <c r="E11" s="217">
        <f>D11*30</f>
        <v>213.12</v>
      </c>
      <c r="F11" s="202" t="s">
        <v>127</v>
      </c>
      <c r="G11" s="198"/>
      <c r="I11" s="199"/>
      <c r="J11" s="206" t="s">
        <v>131</v>
      </c>
      <c r="K11" s="237">
        <f>K10*0.8/30</f>
        <v>3.2592592592592595</v>
      </c>
      <c r="L11" s="218">
        <f>K11*30</f>
        <v>97.777777777777786</v>
      </c>
      <c r="M11" s="205" t="s">
        <v>127</v>
      </c>
      <c r="N11" s="199"/>
    </row>
    <row r="12" spans="2:45" ht="21" customHeight="1" x14ac:dyDescent="0.9">
      <c r="B12" s="195"/>
      <c r="C12" s="200" t="s">
        <v>132</v>
      </c>
      <c r="D12" s="214">
        <f>E12/30</f>
        <v>26.195999999999994</v>
      </c>
      <c r="E12" s="217">
        <f>E8-E11</f>
        <v>785.87999999999988</v>
      </c>
      <c r="F12" s="202" t="s">
        <v>127</v>
      </c>
      <c r="G12" s="198"/>
      <c r="I12" s="199"/>
      <c r="J12" s="204" t="s">
        <v>132</v>
      </c>
      <c r="K12" s="237">
        <f>L12/30</f>
        <v>24.24074074074074</v>
      </c>
      <c r="L12" s="235">
        <f>L9-L11</f>
        <v>727.22222222222217</v>
      </c>
      <c r="M12" s="205" t="s">
        <v>127</v>
      </c>
      <c r="N12" s="199"/>
    </row>
    <row r="13" spans="2:45" x14ac:dyDescent="0.75">
      <c r="B13" s="195"/>
      <c r="C13" s="195"/>
      <c r="D13" s="195"/>
      <c r="E13" s="195"/>
      <c r="F13" s="195"/>
      <c r="G13" s="195"/>
      <c r="I13" s="199"/>
      <c r="J13" s="199"/>
      <c r="K13" s="199"/>
      <c r="L13" s="199"/>
      <c r="M13" s="199"/>
      <c r="N13" s="199"/>
    </row>
    <row r="14" spans="2:45" ht="22.95" customHeight="1" x14ac:dyDescent="0.75"/>
    <row r="15" spans="2:45" ht="46.15" customHeight="1" thickBot="1" x14ac:dyDescent="0.9">
      <c r="B15" s="195"/>
      <c r="C15" s="326" t="s">
        <v>133</v>
      </c>
      <c r="D15" s="326"/>
      <c r="E15" s="326"/>
      <c r="F15" s="326"/>
      <c r="G15" s="211"/>
      <c r="I15" s="209"/>
      <c r="J15" s="327" t="s">
        <v>137</v>
      </c>
      <c r="K15" s="327"/>
      <c r="L15" s="327"/>
      <c r="M15" s="327"/>
      <c r="N15" s="234"/>
      <c r="O15" s="242"/>
      <c r="P15" s="242"/>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row>
    <row r="16" spans="2:45" ht="28.95" customHeight="1" x14ac:dyDescent="0.9">
      <c r="B16" s="195"/>
      <c r="C16" s="226" t="s">
        <v>124</v>
      </c>
      <c r="D16" s="207">
        <v>27</v>
      </c>
      <c r="E16" s="232">
        <f>D16/30</f>
        <v>0.9</v>
      </c>
      <c r="F16" s="229" t="s">
        <v>125</v>
      </c>
      <c r="G16" s="212"/>
      <c r="I16" s="210"/>
      <c r="J16" s="204" t="s">
        <v>138</v>
      </c>
      <c r="K16" s="207">
        <v>800</v>
      </c>
      <c r="L16" s="235">
        <f>K16/30</f>
        <v>26.666666666666668</v>
      </c>
      <c r="M16" s="205" t="s">
        <v>139</v>
      </c>
      <c r="N16" s="210"/>
      <c r="O16" s="242"/>
      <c r="P16" s="242"/>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row>
    <row r="17" spans="2:45" ht="28.95" customHeight="1" thickBot="1" x14ac:dyDescent="1.05">
      <c r="B17" s="195"/>
      <c r="C17" s="226" t="s">
        <v>134</v>
      </c>
      <c r="D17" s="208">
        <v>23</v>
      </c>
      <c r="E17" s="231">
        <f>D17*5</f>
        <v>115</v>
      </c>
      <c r="F17" s="233" t="s">
        <v>135</v>
      </c>
      <c r="G17" s="212"/>
      <c r="I17" s="210"/>
      <c r="J17" s="204" t="s">
        <v>134</v>
      </c>
      <c r="K17" s="208">
        <v>35</v>
      </c>
      <c r="L17" s="218">
        <f>K17*5</f>
        <v>175</v>
      </c>
      <c r="M17" s="224" t="s">
        <v>135</v>
      </c>
      <c r="N17" s="210"/>
      <c r="O17" s="242"/>
      <c r="P17" s="242"/>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row>
    <row r="18" spans="2:45" ht="28.95" customHeight="1" x14ac:dyDescent="0.9">
      <c r="B18" s="195"/>
      <c r="C18" s="227" t="s">
        <v>128</v>
      </c>
      <c r="D18" s="228">
        <f>4.5*E17</f>
        <v>517.5</v>
      </c>
      <c r="E18" s="226"/>
      <c r="F18" s="229"/>
      <c r="G18" s="212"/>
      <c r="I18" s="210"/>
      <c r="J18" s="206" t="s">
        <v>128</v>
      </c>
      <c r="K18" s="222">
        <f>4.5*L17</f>
        <v>787.5</v>
      </c>
      <c r="L18" s="204"/>
      <c r="M18" s="205"/>
      <c r="N18" s="210"/>
      <c r="O18" s="242"/>
      <c r="P18" s="242"/>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row>
    <row r="19" spans="2:45" ht="25.95" customHeight="1" x14ac:dyDescent="0.9">
      <c r="B19" s="195"/>
      <c r="C19" s="227" t="s">
        <v>131</v>
      </c>
      <c r="D19" s="230">
        <f>E17*0.8/30</f>
        <v>3.0666666666666669</v>
      </c>
      <c r="E19" s="231">
        <f>D19*30</f>
        <v>92</v>
      </c>
      <c r="F19" s="229" t="s">
        <v>127</v>
      </c>
      <c r="G19" s="212"/>
      <c r="I19" s="210"/>
      <c r="J19" s="206" t="s">
        <v>131</v>
      </c>
      <c r="K19" s="220">
        <f>L17*0.8/30</f>
        <v>4.666666666666667</v>
      </c>
      <c r="L19" s="218">
        <f>K19*30</f>
        <v>140</v>
      </c>
      <c r="M19" s="205" t="s">
        <v>127</v>
      </c>
      <c r="N19" s="210"/>
      <c r="O19" s="242"/>
      <c r="P19" s="242"/>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row>
    <row r="20" spans="2:45" ht="27" customHeight="1" x14ac:dyDescent="0.9">
      <c r="B20" s="195"/>
      <c r="C20" s="227" t="s">
        <v>132</v>
      </c>
      <c r="D20" s="230">
        <f>E20/30</f>
        <v>16.100000000000001</v>
      </c>
      <c r="E20" s="231">
        <f>E21-E19</f>
        <v>483</v>
      </c>
      <c r="F20" s="229" t="s">
        <v>127</v>
      </c>
      <c r="G20" s="212"/>
      <c r="I20" s="210"/>
      <c r="J20" s="206" t="s">
        <v>140</v>
      </c>
      <c r="K20" s="236">
        <f>K18/(L19+K16)*30</f>
        <v>25.132978723404253</v>
      </c>
      <c r="L20" s="218">
        <f>K20/30</f>
        <v>0.83776595744680848</v>
      </c>
      <c r="M20" s="205" t="s">
        <v>125</v>
      </c>
      <c r="N20" s="210"/>
      <c r="O20" s="242"/>
      <c r="P20" s="242"/>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row>
    <row r="21" spans="2:45" ht="28.15" customHeight="1" x14ac:dyDescent="0.9">
      <c r="B21" s="195"/>
      <c r="C21" s="227" t="s">
        <v>136</v>
      </c>
      <c r="D21" s="230">
        <f>D18/D16</f>
        <v>19.166666666666668</v>
      </c>
      <c r="E21" s="231">
        <f>D21*30</f>
        <v>575</v>
      </c>
      <c r="F21" s="229" t="s">
        <v>127</v>
      </c>
      <c r="G21" s="212"/>
      <c r="I21" s="210"/>
      <c r="J21" s="206" t="s">
        <v>136</v>
      </c>
      <c r="K21" s="220">
        <f>L21/30</f>
        <v>31.333333333333332</v>
      </c>
      <c r="L21" s="218">
        <f>L19+K16</f>
        <v>940</v>
      </c>
      <c r="M21" s="205" t="s">
        <v>127</v>
      </c>
      <c r="N21" s="210"/>
      <c r="O21" s="242"/>
      <c r="P21" s="242"/>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row>
    <row r="22" spans="2:45" ht="15" customHeight="1" x14ac:dyDescent="0.75">
      <c r="B22" s="195"/>
      <c r="C22" s="195"/>
      <c r="D22" s="195"/>
      <c r="E22" s="195"/>
      <c r="F22" s="195"/>
      <c r="G22" s="195"/>
      <c r="I22" s="199"/>
      <c r="J22" s="199"/>
      <c r="K22" s="199"/>
      <c r="L22" s="199"/>
      <c r="M22" s="199"/>
      <c r="N22" s="199"/>
      <c r="O22" s="242"/>
      <c r="P22" s="242"/>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row>
    <row r="23" spans="2:45" ht="15" customHeight="1" x14ac:dyDescent="0.75">
      <c r="B23" s="195"/>
      <c r="C23" s="195"/>
      <c r="D23" s="195"/>
      <c r="E23" s="195"/>
      <c r="F23" s="225"/>
      <c r="G23" s="225"/>
      <c r="H23" s="225"/>
      <c r="I23" s="225"/>
      <c r="J23" s="225"/>
      <c r="K23" s="225"/>
      <c r="L23" s="225"/>
      <c r="M23" s="225"/>
      <c r="N23" s="225"/>
      <c r="O23" s="242"/>
      <c r="P23" s="242"/>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row>
    <row r="24" spans="2:45" ht="15" customHeight="1" x14ac:dyDescent="0.75">
      <c r="B24" s="195"/>
      <c r="C24" s="195"/>
      <c r="D24" s="195"/>
      <c r="E24" s="195"/>
      <c r="F24" s="225"/>
      <c r="G24" s="225"/>
      <c r="H24" s="225"/>
      <c r="I24" s="225"/>
      <c r="J24" s="225"/>
      <c r="K24" s="225"/>
      <c r="L24" s="225"/>
      <c r="M24" s="225"/>
      <c r="N24" s="225"/>
      <c r="O24" s="242"/>
      <c r="P24" s="242"/>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row>
    <row r="25" spans="2:45" ht="15" customHeight="1" x14ac:dyDescent="0.75">
      <c r="B25" s="195"/>
      <c r="C25" s="195"/>
      <c r="D25" s="195"/>
      <c r="E25" s="195"/>
      <c r="F25" s="225"/>
      <c r="G25" s="225"/>
      <c r="H25" s="225"/>
      <c r="I25" s="225"/>
      <c r="J25" s="225"/>
      <c r="K25" s="225"/>
      <c r="L25" s="225"/>
      <c r="M25" s="225"/>
      <c r="N25" s="225"/>
      <c r="O25" s="242"/>
      <c r="P25" s="242"/>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row>
    <row r="26" spans="2:45" ht="15" customHeight="1" x14ac:dyDescent="0.75">
      <c r="B26" s="195"/>
      <c r="C26" s="195"/>
      <c r="D26" s="195"/>
      <c r="E26" s="195"/>
      <c r="F26" s="195"/>
      <c r="G26" s="195"/>
      <c r="H26" s="195"/>
      <c r="I26" s="195"/>
      <c r="J26" s="195"/>
      <c r="K26" s="195"/>
      <c r="L26" s="195"/>
      <c r="M26" s="195"/>
      <c r="N26" s="195"/>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row>
    <row r="27" spans="2:45" ht="15" customHeight="1" x14ac:dyDescent="0.75">
      <c r="B27" s="195"/>
      <c r="C27" s="195"/>
      <c r="D27" s="328" t="s">
        <v>191</v>
      </c>
      <c r="E27" s="328"/>
      <c r="F27" s="328"/>
      <c r="G27" s="328"/>
      <c r="H27" s="328"/>
      <c r="I27" s="328"/>
      <c r="J27" s="328"/>
      <c r="K27" s="328"/>
      <c r="L27" s="328"/>
      <c r="M27" s="238"/>
      <c r="N27" s="238"/>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row>
    <row r="28" spans="2:45" ht="15" customHeight="1" x14ac:dyDescent="0.75">
      <c r="B28" s="195"/>
      <c r="C28" s="195"/>
      <c r="D28" s="328"/>
      <c r="E28" s="328"/>
      <c r="F28" s="328"/>
      <c r="G28" s="328"/>
      <c r="H28" s="328"/>
      <c r="I28" s="328"/>
      <c r="J28" s="328"/>
      <c r="K28" s="328"/>
      <c r="L28" s="328"/>
      <c r="M28" s="195"/>
      <c r="N28" s="195"/>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row>
    <row r="29" spans="2:45" ht="15" customHeight="1" x14ac:dyDescent="0.75">
      <c r="B29" s="195"/>
      <c r="C29" s="195"/>
      <c r="D29" s="328"/>
      <c r="E29" s="328"/>
      <c r="F29" s="328"/>
      <c r="G29" s="328"/>
      <c r="H29" s="328"/>
      <c r="I29" s="328"/>
      <c r="J29" s="328"/>
      <c r="K29" s="328"/>
      <c r="L29" s="328"/>
      <c r="M29" s="195"/>
      <c r="N29" s="195"/>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row>
    <row r="30" spans="2:45" ht="15" customHeight="1" x14ac:dyDescent="0.75">
      <c r="B30" s="195"/>
      <c r="C30" s="195"/>
      <c r="D30" s="328"/>
      <c r="E30" s="328"/>
      <c r="F30" s="328"/>
      <c r="G30" s="328"/>
      <c r="H30" s="328"/>
      <c r="I30" s="328"/>
      <c r="J30" s="328"/>
      <c r="K30" s="328"/>
      <c r="L30" s="328"/>
      <c r="M30" s="195"/>
      <c r="N30" s="195"/>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row>
    <row r="31" spans="2:45" ht="15" customHeight="1" x14ac:dyDescent="0.75">
      <c r="B31" s="195"/>
      <c r="C31" s="195"/>
      <c r="D31" s="328"/>
      <c r="E31" s="328"/>
      <c r="F31" s="328"/>
      <c r="G31" s="328"/>
      <c r="H31" s="328"/>
      <c r="I31" s="328"/>
      <c r="J31" s="328"/>
      <c r="K31" s="328"/>
      <c r="L31" s="328"/>
      <c r="M31" s="195"/>
      <c r="N31" s="195"/>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row>
    <row r="32" spans="2:45" ht="193.15" customHeight="1" x14ac:dyDescent="0.75">
      <c r="B32" s="195"/>
      <c r="C32" s="195"/>
      <c r="D32" s="328"/>
      <c r="E32" s="328"/>
      <c r="F32" s="328"/>
      <c r="G32" s="328"/>
      <c r="H32" s="328"/>
      <c r="I32" s="328"/>
      <c r="J32" s="328"/>
      <c r="K32" s="328"/>
      <c r="L32" s="328"/>
      <c r="M32" s="195"/>
      <c r="N32" s="195"/>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row>
    <row r="33" ht="15" customHeight="1" x14ac:dyDescent="0.75"/>
    <row r="34" ht="15" customHeight="1" x14ac:dyDescent="0.75"/>
    <row r="35" ht="15" customHeight="1" x14ac:dyDescent="0.75"/>
    <row r="36" ht="15" customHeight="1" x14ac:dyDescent="0.75"/>
    <row r="37" ht="15" customHeight="1" x14ac:dyDescent="0.75"/>
  </sheetData>
  <mergeCells count="8">
    <mergeCell ref="C15:F15"/>
    <mergeCell ref="J6:M6"/>
    <mergeCell ref="D27:L32"/>
    <mergeCell ref="C1:M1"/>
    <mergeCell ref="O1:Z1"/>
    <mergeCell ref="C6:F6"/>
    <mergeCell ref="J15:M15"/>
    <mergeCell ref="B3:N3"/>
  </mergeCells>
  <pageMargins left="0.75" right="0.75" top="1" bottom="1" header="0.3" footer="0.3"/>
  <pageSetup orientation="portrait" r:id="rId1"/>
  <headerFooter alignWithMargins="0"/>
  <drawing r:id="rId2"/>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7"/>
  <sheetViews>
    <sheetView topLeftCell="A3" zoomScale="40" zoomScaleNormal="40" zoomScalePageLayoutView="60" workbookViewId="0">
      <selection activeCell="H14" sqref="H14:I14"/>
    </sheetView>
  </sheetViews>
  <sheetFormatPr defaultColWidth="10.76953125" defaultRowHeight="14.75" x14ac:dyDescent="0.75"/>
  <cols>
    <col min="1" max="1" width="24.2265625" style="244" customWidth="1"/>
    <col min="2" max="2" width="14.2265625" style="244" customWidth="1"/>
    <col min="3" max="4" width="10.76953125" style="244"/>
    <col min="5" max="5" width="12.2265625" style="244" customWidth="1"/>
    <col min="6" max="6" width="15.453125" style="244" customWidth="1"/>
    <col min="7" max="7" width="7.453125" style="244" customWidth="1"/>
    <col min="8" max="8" width="10.76953125" style="244"/>
    <col min="9" max="9" width="24.2265625" style="244" customWidth="1"/>
    <col min="10" max="10" width="7.2265625" style="244" customWidth="1"/>
    <col min="11" max="11" width="22.2265625" style="244" customWidth="1"/>
    <col min="12" max="12" width="20.2265625" style="244" customWidth="1"/>
    <col min="13" max="16384" width="10.76953125" style="244"/>
  </cols>
  <sheetData>
    <row r="1" spans="1:27" s="193" customFormat="1" ht="82.15" customHeight="1" x14ac:dyDescent="0.75">
      <c r="B1" s="294"/>
      <c r="C1" s="294"/>
      <c r="D1" s="294"/>
      <c r="E1" s="294"/>
      <c r="F1" s="294"/>
      <c r="G1" s="294"/>
      <c r="H1" s="294"/>
      <c r="I1" s="294"/>
      <c r="J1" s="294"/>
      <c r="K1" s="294"/>
      <c r="L1" s="294"/>
      <c r="M1" s="294"/>
      <c r="N1" s="246"/>
      <c r="O1" s="294"/>
      <c r="P1" s="294"/>
      <c r="Q1" s="294"/>
      <c r="R1" s="294"/>
      <c r="S1" s="294"/>
      <c r="T1" s="294"/>
      <c r="U1" s="294"/>
      <c r="V1" s="294"/>
      <c r="W1" s="294"/>
      <c r="X1" s="294"/>
      <c r="Y1" s="294"/>
      <c r="Z1" s="294"/>
      <c r="AA1" s="294"/>
    </row>
    <row r="3" spans="1:27" ht="57" customHeight="1" x14ac:dyDescent="1.1499999999999999">
      <c r="A3" s="257" t="s">
        <v>142</v>
      </c>
      <c r="B3" s="258"/>
      <c r="C3" s="258"/>
      <c r="D3" s="258"/>
      <c r="E3" s="258"/>
      <c r="F3" s="258"/>
      <c r="H3" s="333" t="s">
        <v>110</v>
      </c>
      <c r="I3" s="333"/>
      <c r="K3" s="339" t="s">
        <v>111</v>
      </c>
      <c r="L3" s="339"/>
    </row>
    <row r="4" spans="1:27" x14ac:dyDescent="0.75">
      <c r="A4" s="258"/>
      <c r="B4" s="258"/>
      <c r="C4" s="258"/>
      <c r="D4" s="258"/>
      <c r="E4" s="258"/>
      <c r="F4" s="258"/>
      <c r="H4" s="334" t="s">
        <v>143</v>
      </c>
      <c r="I4" s="334"/>
      <c r="K4" s="330" t="s">
        <v>113</v>
      </c>
      <c r="L4" s="330"/>
    </row>
    <row r="5" spans="1:27" ht="54" customHeight="1" x14ac:dyDescent="0.75">
      <c r="A5" s="260" t="s">
        <v>101</v>
      </c>
      <c r="B5" s="260" t="s">
        <v>102</v>
      </c>
      <c r="C5" s="260" t="s">
        <v>103</v>
      </c>
      <c r="D5" s="260" t="s">
        <v>104</v>
      </c>
      <c r="E5" s="260" t="s">
        <v>105</v>
      </c>
      <c r="F5" s="260" t="s">
        <v>106</v>
      </c>
      <c r="H5" s="334"/>
      <c r="I5" s="334"/>
      <c r="K5" s="259" t="s">
        <v>123</v>
      </c>
      <c r="L5" s="259" t="s">
        <v>114</v>
      </c>
    </row>
    <row r="6" spans="1:27" x14ac:dyDescent="0.75">
      <c r="A6" s="252" t="s">
        <v>107</v>
      </c>
      <c r="B6" s="252">
        <v>149</v>
      </c>
      <c r="C6" s="252">
        <v>881</v>
      </c>
      <c r="D6" s="252">
        <v>1000</v>
      </c>
      <c r="E6" s="252">
        <v>170</v>
      </c>
      <c r="F6" s="252">
        <v>100</v>
      </c>
      <c r="H6" s="334"/>
      <c r="I6" s="334"/>
      <c r="K6" s="259" t="s">
        <v>115</v>
      </c>
      <c r="L6" s="259" t="s">
        <v>116</v>
      </c>
    </row>
    <row r="7" spans="1:27" x14ac:dyDescent="0.75">
      <c r="A7" s="252" t="s">
        <v>108</v>
      </c>
      <c r="B7" s="252">
        <v>178</v>
      </c>
      <c r="C7" s="252">
        <v>858</v>
      </c>
      <c r="D7" s="252">
        <v>1000</v>
      </c>
      <c r="E7" s="252">
        <v>225</v>
      </c>
      <c r="F7" s="252">
        <v>125</v>
      </c>
      <c r="H7" s="334"/>
      <c r="I7" s="334"/>
      <c r="K7" s="259" t="s">
        <v>117</v>
      </c>
      <c r="L7" s="259" t="s">
        <v>118</v>
      </c>
    </row>
    <row r="8" spans="1:27" x14ac:dyDescent="0.75">
      <c r="A8" s="252" t="s">
        <v>109</v>
      </c>
      <c r="B8" s="252">
        <v>222</v>
      </c>
      <c r="C8" s="252">
        <v>822</v>
      </c>
      <c r="D8" s="252">
        <v>1000</v>
      </c>
      <c r="E8" s="252">
        <v>428</v>
      </c>
      <c r="F8" s="252">
        <v>187</v>
      </c>
      <c r="H8" s="334"/>
      <c r="I8" s="334"/>
      <c r="K8" s="259" t="s">
        <v>119</v>
      </c>
      <c r="L8" s="259" t="s">
        <v>120</v>
      </c>
    </row>
    <row r="9" spans="1:27" x14ac:dyDescent="0.75">
      <c r="A9" s="266" t="s">
        <v>165</v>
      </c>
      <c r="B9" s="252">
        <v>266</v>
      </c>
      <c r="C9" s="252">
        <v>786</v>
      </c>
      <c r="D9" s="252">
        <v>1000</v>
      </c>
      <c r="E9" s="252">
        <v>356</v>
      </c>
      <c r="F9" s="252">
        <v>326</v>
      </c>
      <c r="H9" s="334"/>
      <c r="I9" s="334"/>
      <c r="K9" s="259" t="s">
        <v>121</v>
      </c>
      <c r="L9" s="259" t="s">
        <v>122</v>
      </c>
    </row>
    <row r="10" spans="1:27" x14ac:dyDescent="0.75">
      <c r="A10" s="252" t="s">
        <v>166</v>
      </c>
      <c r="B10" s="252">
        <v>333</v>
      </c>
      <c r="C10" s="252">
        <v>733</v>
      </c>
      <c r="D10" s="252">
        <v>1000</v>
      </c>
      <c r="E10" s="252">
        <v>446</v>
      </c>
      <c r="F10" s="252">
        <v>408</v>
      </c>
      <c r="H10" s="334"/>
      <c r="I10" s="334"/>
      <c r="K10" s="338" t="s">
        <v>144</v>
      </c>
      <c r="L10" s="338"/>
    </row>
    <row r="11" spans="1:27" x14ac:dyDescent="0.75">
      <c r="A11" s="331" t="s">
        <v>147</v>
      </c>
      <c r="B11" s="331"/>
      <c r="C11" s="331"/>
      <c r="D11" s="331"/>
      <c r="E11" s="331"/>
      <c r="F11" s="331"/>
      <c r="H11" s="334"/>
      <c r="I11" s="334"/>
      <c r="K11" s="338"/>
      <c r="L11" s="338"/>
    </row>
    <row r="12" spans="1:27" ht="16.149999999999999" customHeight="1" x14ac:dyDescent="0.75">
      <c r="A12" s="332" t="s">
        <v>148</v>
      </c>
      <c r="B12" s="332"/>
      <c r="C12" s="332"/>
      <c r="D12" s="332"/>
      <c r="E12" s="332"/>
      <c r="F12" s="332"/>
      <c r="K12" s="338"/>
      <c r="L12" s="338"/>
    </row>
    <row r="13" spans="1:27" ht="31.95" customHeight="1" x14ac:dyDescent="0.75">
      <c r="A13" s="256"/>
      <c r="B13" s="256"/>
      <c r="C13" s="256"/>
      <c r="D13" s="256"/>
      <c r="E13" s="256"/>
      <c r="F13" s="256"/>
      <c r="K13" s="338"/>
      <c r="L13" s="338"/>
    </row>
    <row r="14" spans="1:27" ht="33" customHeight="1" x14ac:dyDescent="1">
      <c r="A14" s="337" t="s">
        <v>112</v>
      </c>
      <c r="B14" s="337"/>
      <c r="C14" s="337"/>
      <c r="D14" s="337"/>
      <c r="E14" s="337"/>
      <c r="F14" s="337"/>
      <c r="H14" s="335" t="s">
        <v>153</v>
      </c>
      <c r="I14" s="335"/>
      <c r="J14" s="254"/>
      <c r="K14" s="338"/>
      <c r="L14" s="338"/>
    </row>
    <row r="15" spans="1:27" ht="22.95" customHeight="1" x14ac:dyDescent="0.75">
      <c r="A15" s="250"/>
      <c r="B15" s="250"/>
      <c r="C15" s="250"/>
      <c r="D15" s="250"/>
      <c r="E15" s="250"/>
      <c r="F15" s="250"/>
      <c r="H15" s="336" t="s">
        <v>152</v>
      </c>
      <c r="I15" s="336"/>
      <c r="J15" s="255"/>
      <c r="K15" s="338"/>
      <c r="L15" s="338"/>
    </row>
    <row r="16" spans="1:27" ht="22.95" customHeight="1" x14ac:dyDescent="0.75">
      <c r="A16" s="334" t="s">
        <v>154</v>
      </c>
      <c r="B16" s="334"/>
      <c r="C16" s="334"/>
      <c r="D16" s="334"/>
      <c r="E16" s="334"/>
      <c r="F16" s="334"/>
      <c r="H16" s="336"/>
      <c r="I16" s="336"/>
      <c r="J16" s="245"/>
      <c r="K16" s="338"/>
      <c r="L16" s="338"/>
    </row>
    <row r="17" spans="1:12" ht="16.149999999999999" customHeight="1" x14ac:dyDescent="0.75">
      <c r="A17" s="334"/>
      <c r="B17" s="334"/>
      <c r="C17" s="334"/>
      <c r="D17" s="334"/>
      <c r="E17" s="334"/>
      <c r="F17" s="334"/>
      <c r="H17" s="336"/>
      <c r="I17" s="336"/>
      <c r="J17" s="245"/>
      <c r="K17" s="338"/>
      <c r="L17" s="338"/>
    </row>
    <row r="18" spans="1:12" ht="15.25" x14ac:dyDescent="0.75">
      <c r="A18" s="334"/>
      <c r="B18" s="334"/>
      <c r="C18" s="334"/>
      <c r="D18" s="334"/>
      <c r="E18" s="334"/>
      <c r="F18" s="334"/>
      <c r="H18" s="336"/>
      <c r="I18" s="336"/>
      <c r="J18" s="245"/>
      <c r="K18" s="338"/>
      <c r="L18" s="338"/>
    </row>
    <row r="19" spans="1:12" ht="15.25" x14ac:dyDescent="0.75">
      <c r="A19" s="334"/>
      <c r="B19" s="334"/>
      <c r="C19" s="334"/>
      <c r="D19" s="334"/>
      <c r="E19" s="334"/>
      <c r="F19" s="334"/>
      <c r="H19" s="336"/>
      <c r="I19" s="336"/>
      <c r="J19" s="245"/>
    </row>
    <row r="20" spans="1:12" ht="15.25" x14ac:dyDescent="0.75">
      <c r="A20" s="334"/>
      <c r="B20" s="334"/>
      <c r="C20" s="334"/>
      <c r="D20" s="334"/>
      <c r="E20" s="334"/>
      <c r="F20" s="334"/>
      <c r="H20" s="336"/>
      <c r="I20" s="336"/>
      <c r="J20" s="245"/>
    </row>
    <row r="21" spans="1:12" ht="16" x14ac:dyDescent="0.75">
      <c r="A21" s="334"/>
      <c r="B21" s="334"/>
      <c r="C21" s="334"/>
      <c r="D21" s="334"/>
      <c r="E21" s="334"/>
      <c r="F21" s="334"/>
      <c r="G21" s="251"/>
      <c r="H21" s="336"/>
      <c r="I21" s="336"/>
      <c r="J21" s="245"/>
    </row>
    <row r="22" spans="1:12" ht="23" x14ac:dyDescent="0.75">
      <c r="A22" s="334"/>
      <c r="B22" s="334"/>
      <c r="C22" s="334"/>
      <c r="D22" s="334"/>
      <c r="E22" s="334"/>
      <c r="F22" s="334"/>
      <c r="H22" s="336"/>
      <c r="I22" s="336"/>
      <c r="J22" s="253"/>
    </row>
    <row r="23" spans="1:12" ht="23" x14ac:dyDescent="0.75">
      <c r="A23" s="334"/>
      <c r="B23" s="334"/>
      <c r="C23" s="334"/>
      <c r="D23" s="334"/>
      <c r="E23" s="334"/>
      <c r="F23" s="334"/>
      <c r="H23" s="336"/>
      <c r="I23" s="336"/>
      <c r="J23" s="253"/>
    </row>
    <row r="24" spans="1:12" ht="15.4" hidden="1" customHeight="1" x14ac:dyDescent="0.75">
      <c r="A24" s="334"/>
      <c r="B24" s="334"/>
      <c r="C24" s="334"/>
      <c r="D24" s="334"/>
      <c r="E24" s="334"/>
      <c r="F24" s="334"/>
      <c r="H24" s="336"/>
      <c r="I24" s="336"/>
      <c r="J24" s="243"/>
    </row>
    <row r="25" spans="1:12" ht="15.25" x14ac:dyDescent="0.75">
      <c r="A25" s="245"/>
      <c r="B25" s="245"/>
      <c r="H25" s="336"/>
      <c r="I25" s="336"/>
      <c r="J25" s="243"/>
    </row>
    <row r="26" spans="1:12" ht="15.25" x14ac:dyDescent="0.75">
      <c r="A26" s="245"/>
      <c r="B26" s="245"/>
      <c r="H26" s="336"/>
      <c r="I26" s="336"/>
      <c r="J26" s="243"/>
    </row>
    <row r="27" spans="1:12" ht="15.25" x14ac:dyDescent="0.75">
      <c r="A27" s="245"/>
      <c r="B27" s="245"/>
      <c r="H27" s="336"/>
      <c r="I27" s="336"/>
      <c r="J27" s="243"/>
    </row>
    <row r="28" spans="1:12" ht="15.25" x14ac:dyDescent="0.75">
      <c r="H28" s="336"/>
      <c r="I28" s="336"/>
      <c r="J28" s="243"/>
    </row>
    <row r="29" spans="1:12" ht="15.25" x14ac:dyDescent="0.75">
      <c r="H29" s="336"/>
      <c r="I29" s="336"/>
      <c r="J29" s="243"/>
    </row>
    <row r="30" spans="1:12" ht="15.25" x14ac:dyDescent="0.75">
      <c r="H30" s="336"/>
      <c r="I30" s="336"/>
      <c r="J30" s="243"/>
    </row>
    <row r="31" spans="1:12" x14ac:dyDescent="0.75">
      <c r="H31" s="336"/>
      <c r="I31" s="336"/>
    </row>
    <row r="32" spans="1:12" ht="100.15" customHeight="1" x14ac:dyDescent="0.75">
      <c r="H32" s="336"/>
      <c r="I32" s="336"/>
    </row>
    <row r="33" spans="8:9" x14ac:dyDescent="0.75">
      <c r="H33" s="336"/>
      <c r="I33" s="336"/>
    </row>
    <row r="34" spans="8:9" x14ac:dyDescent="0.75">
      <c r="H34" s="336"/>
      <c r="I34" s="336"/>
    </row>
    <row r="35" spans="8:9" x14ac:dyDescent="0.75">
      <c r="H35" s="336"/>
      <c r="I35" s="336"/>
    </row>
    <row r="36" spans="8:9" x14ac:dyDescent="0.75">
      <c r="H36" s="336"/>
      <c r="I36" s="336"/>
    </row>
    <row r="37" spans="8:9" x14ac:dyDescent="0.75">
      <c r="H37" s="336"/>
      <c r="I37" s="336"/>
    </row>
  </sheetData>
  <mergeCells count="13">
    <mergeCell ref="H14:I14"/>
    <mergeCell ref="H15:I37"/>
    <mergeCell ref="B1:M1"/>
    <mergeCell ref="O1:AA1"/>
    <mergeCell ref="A16:F24"/>
    <mergeCell ref="A14:F14"/>
    <mergeCell ref="K10:L18"/>
    <mergeCell ref="K3:L3"/>
    <mergeCell ref="K4:L4"/>
    <mergeCell ref="A11:F11"/>
    <mergeCell ref="A12:F12"/>
    <mergeCell ref="H3:I3"/>
    <mergeCell ref="H4:I11"/>
  </mergeCells>
  <pageMargins left="0.7" right="0.7" top="0.75" bottom="0.75" header="0.3" footer="0.3"/>
  <pageSetup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54D9801E8824D4A93A7324BF2FAA8C9" ma:contentTypeVersion="1" ma:contentTypeDescription="Create a new document." ma:contentTypeScope="" ma:versionID="4bbd7b1dbb81bef714e8140c74ff172c">
  <xsd:schema xmlns:xsd="http://www.w3.org/2001/XMLSchema" xmlns:xs="http://www.w3.org/2001/XMLSchema" xmlns:p="http://schemas.microsoft.com/office/2006/metadata/properties" xmlns:ns1="http://schemas.microsoft.com/sharepoint/v3" targetNamespace="http://schemas.microsoft.com/office/2006/metadata/properties" ma:root="true" ma:fieldsID="6f9746fe128b0ca74698fd9d7c13d39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82AA43-2F49-4B4B-BB87-E9E2D6D7DB0B}">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17B720B3-98BB-47B4-B956-F8762760C10C}">
  <ds:schemaRefs>
    <ds:schemaRef ds:uri="http://schemas.microsoft.com/sharepoint/v3/contenttype/forms"/>
  </ds:schemaRefs>
</ds:datastoreItem>
</file>

<file path=customXml/itemProps3.xml><?xml version="1.0" encoding="utf-8"?>
<ds:datastoreItem xmlns:ds="http://schemas.openxmlformats.org/officeDocument/2006/customXml" ds:itemID="{59058E07-F3A6-4BB9-8CFA-1FF4C2CEF2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Lipistart DRI Calculator</vt:lpstr>
      <vt:lpstr>Recipe Calculator</vt:lpstr>
      <vt:lpstr>Preparation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Casey Perno</dc:creator>
  <cp:lastModifiedBy>Elissaveta</cp:lastModifiedBy>
  <dcterms:created xsi:type="dcterms:W3CDTF">2015-06-09T18:37:05Z</dcterms:created>
  <dcterms:modified xsi:type="dcterms:W3CDTF">2020-05-22T21:05:09Z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0x01010035937B75C20BE8498E25B4D2DF30FF9A</vt:lpwstr>
  </property>
  <property fmtid="{D5CDD505-2E9C-101B-9397-08002B2CF9AE}" pid="3" name="MSIP_Label_1ada0a2f-b917-4d51-b0d0-d418a10c8b23_Enabled">
    <vt:lpwstr>True</vt:lpwstr>
  </property>
  <property fmtid="{D5CDD505-2E9C-101B-9397-08002B2CF9AE}" pid="4" name="MSIP_Label_1ada0a2f-b917-4d51-b0d0-d418a10c8b23_SiteId">
    <vt:lpwstr>12a3af23-a769-4654-847f-958f3d479f4a</vt:lpwstr>
  </property>
  <property fmtid="{D5CDD505-2E9C-101B-9397-08002B2CF9AE}" pid="5" name="MSIP_Label_1ada0a2f-b917-4d51-b0d0-d418a10c8b23_Owner">
    <vt:lpwstr>Charlotte.Harrison2@us.nestle.com</vt:lpwstr>
  </property>
  <property fmtid="{D5CDD505-2E9C-101B-9397-08002B2CF9AE}" pid="6" name="MSIP_Label_1ada0a2f-b917-4d51-b0d0-d418a10c8b23_SetDate">
    <vt:lpwstr>2019-01-31T17:59:17.5938906Z</vt:lpwstr>
  </property>
  <property fmtid="{D5CDD505-2E9C-101B-9397-08002B2CF9AE}" pid="7" name="MSIP_Label_1ada0a2f-b917-4d51-b0d0-d418a10c8b23_Name">
    <vt:lpwstr>General Use</vt:lpwstr>
  </property>
  <property fmtid="{D5CDD505-2E9C-101B-9397-08002B2CF9AE}" pid="8" name="MSIP_Label_1ada0a2f-b917-4d51-b0d0-d418a10c8b23_Application">
    <vt:lpwstr>Microsoft Azure Information Protection</vt:lpwstr>
  </property>
  <property fmtid="{D5CDD505-2E9C-101B-9397-08002B2CF9AE}" pid="9" name="MSIP_Label_1ada0a2f-b917-4d51-b0d0-d418a10c8b23_Extended_MSFT_Method">
    <vt:lpwstr>Automatic</vt:lpwstr>
  </property>
  <property fmtid="{D5CDD505-2E9C-101B-9397-08002B2CF9AE}" pid="10" name="Sensitivity">
    <vt:lpwstr>General Use</vt:lpwstr>
  </property>
</Properties>
</file>